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comments3.xml" ContentType="application/vnd.openxmlformats-officedocument.spreadsheetml.comments+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4.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5.xml" ContentType="application/vnd.openxmlformats-officedocument.drawing+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6.xml" ContentType="application/vnd.openxmlformats-officedocument.drawing+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7.xml" ContentType="application/vnd.openxmlformats-officedocument.drawing+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theme/themeOverride1.xml" ContentType="application/vnd.openxmlformats-officedocument.themeOverrid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theme/themeOverride2.xml" ContentType="application/vnd.openxmlformats-officedocument.themeOverrid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drawings/drawing8.xml" ContentType="application/vnd.openxmlformats-officedocument.drawing+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drawings/drawing9.xml" ContentType="application/vnd.openxmlformats-officedocument.drawing+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10.xml" ContentType="application/vnd.openxmlformats-officedocument.drawing+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11.xml" ContentType="application/vnd.openxmlformats-officedocument.drawing+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12.xml" ContentType="application/vnd.openxmlformats-officedocument.drawing+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13.xml" ContentType="application/vnd.openxmlformats-officedocument.drawing+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14.xml" ContentType="application/vnd.openxmlformats-officedocument.drawing+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15.xml" ContentType="application/vnd.openxmlformats-officedocument.drawing+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16.xml" ContentType="application/vnd.openxmlformats-officedocument.drawing+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17.xml" ContentType="application/vnd.openxmlformats-officedocument.drawing+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18.xml" ContentType="application/vnd.openxmlformats-officedocument.drawing+xml"/>
  <Override PartName="/xl/drawings/drawing19.xml" ContentType="application/vnd.openxmlformats-officedocument.drawing+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20.xml" ContentType="application/vnd.openxmlformats-officedocument.drawing+xml"/>
  <Override PartName="/xl/drawings/drawing21.xml" ContentType="application/vnd.openxmlformats-officedocument.drawing+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22.xml" ContentType="application/vnd.openxmlformats-officedocument.drawing+xml"/>
  <Override PartName="/xl/charts/chart58.xml" ContentType="application/vnd.openxmlformats-officedocument.drawingml.chart+xml"/>
  <Override PartName="/xl/theme/themeOverride3.xml" ContentType="application/vnd.openxmlformats-officedocument.themeOverride+xml"/>
  <Override PartName="/xl/drawings/drawing23.xml" ContentType="application/vnd.openxmlformats-officedocument.drawing+xml"/>
  <Override PartName="/xl/charts/chart59.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24.xml" ContentType="application/vnd.openxmlformats-officedocument.drawing+xml"/>
  <Override PartName="/xl/charts/chart60.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25.xml" ContentType="application/vnd.openxmlformats-officedocument.drawing+xml"/>
  <Override PartName="/xl/charts/chart61.xml" ContentType="application/vnd.openxmlformats-officedocument.drawingml.chart+xml"/>
  <Override PartName="/xl/charts/style60.xml" ContentType="application/vnd.ms-office.chartstyle+xml"/>
  <Override PartName="/xl/charts/colors60.xml" ContentType="application/vnd.ms-office.chartcolorstyle+xml"/>
  <Override PartName="/xl/theme/themeOverride4.xml" ContentType="application/vnd.openxmlformats-officedocument.themeOverride+xml"/>
  <Override PartName="/xl/drawings/drawing26.xml" ContentType="application/vnd.openxmlformats-officedocument.drawing+xml"/>
  <Override PartName="/xl/charts/chart62.xml" ContentType="application/vnd.openxmlformats-officedocument.drawingml.chart+xml"/>
  <Override PartName="/xl/theme/themeOverride5.xml" ContentType="application/vnd.openxmlformats-officedocument.themeOverride+xml"/>
  <Override PartName="/xl/charts/chart63.xml" ContentType="application/vnd.openxmlformats-officedocument.drawingml.chart+xml"/>
  <Override PartName="/xl/theme/themeOverride6.xml" ContentType="application/vnd.openxmlformats-officedocument.themeOverride+xml"/>
  <Override PartName="/xl/drawings/drawing27.xml" ContentType="application/vnd.openxmlformats-officedocument.drawing+xml"/>
  <Override PartName="/xl/drawings/drawing2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codeName="ThisWorkbook" defaultThemeVersion="202300"/>
  <mc:AlternateContent xmlns:mc="http://schemas.openxmlformats.org/markup-compatibility/2006">
    <mc:Choice Requires="x15">
      <x15ac:absPath xmlns:x15ac="http://schemas.microsoft.com/office/spreadsheetml/2010/11/ac" url="\\10.212.196.45\DemandData\Half Yearly_Yearly Actitivities\Ready Reckoner\2025-26\full year-2025-26\Web upload\"/>
    </mc:Choice>
  </mc:AlternateContent>
  <xr:revisionPtr revIDLastSave="0" documentId="13_ncr:1_{487C0896-595A-4827-904C-95B718796F49}" xr6:coauthVersionLast="47" xr6:coauthVersionMax="47" xr10:uidLastSave="{00000000-0000-0000-0000-000000000000}"/>
  <bookViews>
    <workbookView xWindow="-120" yWindow="-120" windowWidth="29040" windowHeight="15720" tabRatio="946" firstSheet="4" activeTab="5" xr2:uid="{D9F4C320-34E4-47DC-98C5-BF1DD90FF063}"/>
  </bookViews>
  <sheets>
    <sheet name="Preface" sheetId="1" state="hidden" r:id="rId1"/>
    <sheet name="Vision &amp; Mission" sheetId="4" state="hidden" r:id="rId2"/>
    <sheet name="Cover" sheetId="236" r:id="rId3"/>
    <sheet name="CONTENTS" sheetId="293" r:id="rId4"/>
    <sheet name="1.1" sheetId="225" r:id="rId5"/>
    <sheet name="1.12" sheetId="249" r:id="rId6"/>
    <sheet name="1.2" sheetId="5" r:id="rId7"/>
    <sheet name="1.2 (a)" sheetId="238" r:id="rId8"/>
    <sheet name="2.0 CH E&amp;P" sheetId="6" r:id="rId9"/>
    <sheet name="Table 2.1 " sheetId="172" r:id="rId10"/>
    <sheet name="Table 2.2 " sheetId="175" r:id="rId11"/>
    <sheet name="Table 2.3" sheetId="176" r:id="rId12"/>
    <sheet name="Table 2.4" sheetId="177" r:id="rId13"/>
    <sheet name="2.5A+2.5B+2.6" sheetId="250" r:id="rId14"/>
    <sheet name="2.7 (A&amp;B)" sheetId="195" r:id="rId15"/>
    <sheet name=" 2.8, 2.9, 2.10 &amp; 2.11" sheetId="251" r:id="rId16"/>
    <sheet name="2.10" sheetId="15" r:id="rId17"/>
    <sheet name="CH 3 Natural Gas" sheetId="161" r:id="rId18"/>
    <sheet name="3.1" sheetId="178" r:id="rId19"/>
    <sheet name="3.2" sheetId="173" r:id="rId20"/>
    <sheet name="3.2 a" sheetId="240" r:id="rId21"/>
    <sheet name="3.3" sheetId="287" r:id="rId22"/>
    <sheet name="3.3 (a)" sheetId="241" r:id="rId23"/>
    <sheet name="3.4+3.5 " sheetId="252" r:id="rId24"/>
    <sheet name="3.4+3.5 Graph" sheetId="253" r:id="rId25"/>
    <sheet name="3.5A" sheetId="254" r:id="rId26"/>
    <sheet name="3.6" sheetId="288" r:id="rId27"/>
    <sheet name="3.7" sheetId="193" r:id="rId28"/>
    <sheet name="3.7a." sheetId="269" r:id="rId29"/>
    <sheet name="3.7a" sheetId="244" state="hidden" r:id="rId30"/>
    <sheet name="3.7b" sheetId="245" state="hidden" r:id="rId31"/>
    <sheet name="3.8" sheetId="256" r:id="rId32"/>
    <sheet name="3.9+3.10 &amp; 3.10A" sheetId="257" r:id="rId33"/>
    <sheet name="3.11" sheetId="191" r:id="rId34"/>
    <sheet name="3.12" sheetId="258" r:id="rId35"/>
    <sheet name="3.12A" sheetId="289" r:id="rId36"/>
    <sheet name="3.12BC" sheetId="259" r:id="rId37"/>
    <sheet name="NG Sectoral" sheetId="260" r:id="rId38"/>
    <sheet name="3.12DState NG Sectoral " sheetId="290" r:id="rId39"/>
    <sheet name="3.12DState NG Sectoral" sheetId="242" state="hidden" r:id="rId40"/>
    <sheet name="4.0 CH R&amp;P" sheetId="30" r:id="rId41"/>
    <sheet name="4.1, 4.2 &amp; 4.3" sheetId="261" r:id="rId42"/>
    <sheet name="4.4&amp;4.5" sheetId="262" r:id="rId43"/>
    <sheet name="4.6" sheetId="34" r:id="rId44"/>
    <sheet name="4.7 &amp; 4.8" sheetId="263" r:id="rId45"/>
    <sheet name="4.9" sheetId="264" r:id="rId46"/>
    <sheet name="4.10" sheetId="265" r:id="rId47"/>
    <sheet name="4.11" sheetId="266" r:id="rId48"/>
    <sheet name="4.12" sheetId="95" r:id="rId49"/>
    <sheet name="5.0 CH Pipelines" sheetId="45" r:id="rId50"/>
    <sheet name="5.1" sheetId="189" r:id="rId51"/>
    <sheet name="5.1 CHART_NEW" sheetId="42" r:id="rId52"/>
    <sheet name="5.2" sheetId="267" r:id="rId53"/>
    <sheet name="5.3" sheetId="268" r:id="rId54"/>
    <sheet name="6.0 CH Consumption" sheetId="46" r:id="rId55"/>
    <sheet name="6.1 chart" sheetId="48" state="hidden" r:id="rId56"/>
    <sheet name="6.1" sheetId="233" r:id="rId57"/>
    <sheet name="6.2" sheetId="291" r:id="rId58"/>
    <sheet name="POL Market Share (2)" sheetId="217" state="hidden" r:id="rId59"/>
    <sheet name="Survey_HSD sectoral" sheetId="200" r:id="rId60"/>
    <sheet name="POL_sectoral" sheetId="294" r:id="rId61"/>
    <sheet name="6.3A" sheetId="202" r:id="rId62"/>
    <sheet name="6.3B" sheetId="203" r:id="rId63"/>
    <sheet name="6.4A" sheetId="204" r:id="rId64"/>
    <sheet name="6.4B " sheetId="205" r:id="rId65"/>
    <sheet name="6.4C" sheetId="206" r:id="rId66"/>
    <sheet name="6.4D" sheetId="207" r:id="rId67"/>
    <sheet name="6.5" sheetId="223" r:id="rId68"/>
    <sheet name="6.6" sheetId="209" r:id="rId69"/>
    <sheet name="6.6 A" sheetId="232" r:id="rId70"/>
    <sheet name="6.6 PSU RO" sheetId="210" r:id="rId71"/>
    <sheet name="6.7 " sheetId="211" r:id="rId72"/>
    <sheet name="6.8" sheetId="224" r:id="rId73"/>
    <sheet name="6.81_Charts" sheetId="213" r:id="rId74"/>
    <sheet name="Charts " sheetId="243" r:id="rId75"/>
    <sheet name="6.9" sheetId="214" r:id="rId76"/>
    <sheet name="6.10" sheetId="215" r:id="rId77"/>
    <sheet name="POL Market Share" sheetId="155" state="hidden" r:id="rId78"/>
    <sheet name="7.0 CH LPG" sheetId="142" r:id="rId79"/>
    <sheet name="7.1" sheetId="143" r:id="rId80"/>
    <sheet name="7.2" sheetId="144" r:id="rId81"/>
    <sheet name="7.3" sheetId="145" r:id="rId82"/>
    <sheet name="7.4" sheetId="246" r:id="rId83"/>
    <sheet name="7.5" sheetId="247" r:id="rId84"/>
    <sheet name="7.6" sheetId="248" r:id="rId85"/>
    <sheet name="Chapter 8.0" sheetId="73" r:id="rId86"/>
    <sheet name="8.1" sheetId="271" r:id="rId87"/>
    <sheet name="8.1 graph" sheetId="272" r:id="rId88"/>
    <sheet name="8.2 8.3 8.4 8.5" sheetId="273" r:id="rId89"/>
    <sheet name="8.6 8.7 8.8" sheetId="274" r:id="rId90"/>
    <sheet name="8.9" sheetId="275" r:id="rId91"/>
    <sheet name="8.10 8.11" sheetId="276" r:id="rId92"/>
    <sheet name="8.12" sheetId="277" r:id="rId93"/>
    <sheet name="8.13" sheetId="278" r:id="rId94"/>
    <sheet name="8.14 &amp; 8.15" sheetId="279" r:id="rId95"/>
    <sheet name="8.16" sheetId="280" r:id="rId96"/>
    <sheet name="8.17" sheetId="281" r:id="rId97"/>
    <sheet name="8.18 " sheetId="282" r:id="rId98"/>
    <sheet name="8.19" sheetId="283" r:id="rId99"/>
    <sheet name="8.20" sheetId="284" r:id="rId100"/>
    <sheet name="8.21" sheetId="285" r:id="rId101"/>
    <sheet name="8.22" sheetId="286" r:id="rId102"/>
    <sheet name="8.23-8.24" sheetId="112" r:id="rId103"/>
    <sheet name="8.23-8.24 (3)" sheetId="229" state="hidden" r:id="rId104"/>
    <sheet name="9.1, 9.2,9.3 &amp; 9.4 " sheetId="91" r:id="rId105"/>
    <sheet name="9.5 &amp; 9.6" sheetId="92" r:id="rId106"/>
    <sheet name="Abreviations" sheetId="93" r:id="rId107"/>
  </sheets>
  <externalReferences>
    <externalReference r:id="rId108"/>
    <externalReference r:id="rId109"/>
    <externalReference r:id="rId110"/>
    <externalReference r:id="rId111"/>
    <externalReference r:id="rId112"/>
    <externalReference r:id="rId113"/>
    <externalReference r:id="rId114"/>
    <externalReference r:id="rId115"/>
    <externalReference r:id="rId116"/>
    <externalReference r:id="rId117"/>
    <externalReference r:id="rId118"/>
    <externalReference r:id="rId119"/>
    <externalReference r:id="rId120"/>
    <externalReference r:id="rId121"/>
  </externalReferences>
  <definedNames>
    <definedName name="\I" localSheetId="6">#REF!</definedName>
    <definedName name="\I" localSheetId="7">#REF!</definedName>
    <definedName name="\I" localSheetId="16">#REF!</definedName>
    <definedName name="\I" localSheetId="14">#REF!</definedName>
    <definedName name="\I" localSheetId="33">#REF!</definedName>
    <definedName name="\I" localSheetId="34">#REF!</definedName>
    <definedName name="\I" localSheetId="35">#REF!</definedName>
    <definedName name="\I" localSheetId="23">#REF!</definedName>
    <definedName name="\I" localSheetId="24">#REF!</definedName>
    <definedName name="\I" localSheetId="25">#REF!</definedName>
    <definedName name="\I" localSheetId="32">#REF!</definedName>
    <definedName name="\I" localSheetId="41">#REF!</definedName>
    <definedName name="\I" localSheetId="46">#REF!</definedName>
    <definedName name="\I" localSheetId="47">#REF!</definedName>
    <definedName name="\I" localSheetId="48">#REF!</definedName>
    <definedName name="\I" localSheetId="42">#REF!</definedName>
    <definedName name="\I" localSheetId="43">#REF!</definedName>
    <definedName name="\I" localSheetId="44">#REF!</definedName>
    <definedName name="\I" localSheetId="45">#REF!</definedName>
    <definedName name="\I" localSheetId="50">#REF!</definedName>
    <definedName name="\I" localSheetId="52">#REF!</definedName>
    <definedName name="\I" localSheetId="53">#REF!</definedName>
    <definedName name="\I" localSheetId="87">#REF!</definedName>
    <definedName name="\I" localSheetId="91">#REF!</definedName>
    <definedName name="\I" localSheetId="92">#REF!</definedName>
    <definedName name="\I" localSheetId="93">#REF!</definedName>
    <definedName name="\I" localSheetId="94">#REF!</definedName>
    <definedName name="\I" localSheetId="95">#REF!</definedName>
    <definedName name="\I" localSheetId="96">#REF!</definedName>
    <definedName name="\I" localSheetId="97">#REF!</definedName>
    <definedName name="\I" localSheetId="98">#REF!</definedName>
    <definedName name="\I" localSheetId="88">#REF!</definedName>
    <definedName name="\I" localSheetId="99">#REF!</definedName>
    <definedName name="\I" localSheetId="100">#REF!</definedName>
    <definedName name="\I" localSheetId="101">#REF!</definedName>
    <definedName name="\I" localSheetId="102">#REF!</definedName>
    <definedName name="\I" localSheetId="103">#REF!</definedName>
    <definedName name="\I" localSheetId="89">#REF!</definedName>
    <definedName name="\I" localSheetId="90">#REF!</definedName>
    <definedName name="\I" localSheetId="37">#REF!</definedName>
    <definedName name="\I" localSheetId="10">#REF!</definedName>
    <definedName name="\I" localSheetId="11">#REF!</definedName>
    <definedName name="\I" localSheetId="12">#REF!</definedName>
    <definedName name="\I">#REF!</definedName>
    <definedName name="\P" localSheetId="16">#REF!</definedName>
    <definedName name="\P" localSheetId="14">#REF!</definedName>
    <definedName name="\P" localSheetId="33">#REF!</definedName>
    <definedName name="\P" localSheetId="34">#REF!</definedName>
    <definedName name="\P" localSheetId="35">#REF!</definedName>
    <definedName name="\P" localSheetId="23">#REF!</definedName>
    <definedName name="\P" localSheetId="24">#REF!</definedName>
    <definedName name="\P" localSheetId="32">#REF!</definedName>
    <definedName name="\P" localSheetId="41">#REF!</definedName>
    <definedName name="\P" localSheetId="46">#REF!</definedName>
    <definedName name="\P" localSheetId="47">#REF!</definedName>
    <definedName name="\P" localSheetId="48">#REF!</definedName>
    <definedName name="\P" localSheetId="42">#REF!</definedName>
    <definedName name="\P" localSheetId="43">#REF!</definedName>
    <definedName name="\P" localSheetId="44">#REF!</definedName>
    <definedName name="\P" localSheetId="45">#REF!</definedName>
    <definedName name="\P" localSheetId="50">#REF!</definedName>
    <definedName name="\P" localSheetId="52">#REF!</definedName>
    <definedName name="\P" localSheetId="53">#REF!</definedName>
    <definedName name="\P" localSheetId="87">#REF!</definedName>
    <definedName name="\P" localSheetId="91">#REF!</definedName>
    <definedName name="\P" localSheetId="92">#REF!</definedName>
    <definedName name="\P" localSheetId="93">#REF!</definedName>
    <definedName name="\P" localSheetId="94">#REF!</definedName>
    <definedName name="\P" localSheetId="95">#REF!</definedName>
    <definedName name="\P" localSheetId="96">#REF!</definedName>
    <definedName name="\P" localSheetId="97">#REF!</definedName>
    <definedName name="\P" localSheetId="98">#REF!</definedName>
    <definedName name="\P" localSheetId="88">#REF!</definedName>
    <definedName name="\P" localSheetId="99">#REF!</definedName>
    <definedName name="\P" localSheetId="100">#REF!</definedName>
    <definedName name="\P" localSheetId="101">#REF!</definedName>
    <definedName name="\P" localSheetId="102">#REF!</definedName>
    <definedName name="\P" localSheetId="103">#REF!</definedName>
    <definedName name="\P" localSheetId="89">#REF!</definedName>
    <definedName name="\P" localSheetId="90">#REF!</definedName>
    <definedName name="\P" localSheetId="10">#REF!</definedName>
    <definedName name="\P" localSheetId="11">#REF!</definedName>
    <definedName name="\P" localSheetId="12">#REF!</definedName>
    <definedName name="\P">#REF!</definedName>
    <definedName name="_xlnm._FilterDatabase" localSheetId="34" hidden="1">'3.12'!#REF!</definedName>
    <definedName name="_xlnm._FilterDatabase" localSheetId="35" hidden="1">'3.12A'!#REF!</definedName>
    <definedName name="_xlnm._FilterDatabase" localSheetId="29" hidden="1">'3.7a'!$A$3:$E$39</definedName>
    <definedName name="_xlnm._FilterDatabase" localSheetId="30" hidden="1">'3.7b'!$A$3:$E$39</definedName>
    <definedName name="_xlnm._FilterDatabase" localSheetId="31" hidden="1">'3.8'!$A$4:$F$39</definedName>
    <definedName name="_xlnm._FilterDatabase" localSheetId="61" hidden="1">'6.3A'!$A$4:$AJ$53</definedName>
    <definedName name="_xlnm._FilterDatabase" localSheetId="67" hidden="1">'6.5'!$F$1:$F$52</definedName>
    <definedName name="_xlnm._FilterDatabase" localSheetId="81" hidden="1">'7.3'!$A$3:$G$48</definedName>
    <definedName name="_xlnm._FilterDatabase" localSheetId="94" hidden="1">'8.14 &amp; 8.15'!$A$4:$L$4</definedName>
    <definedName name="_xlnm._FilterDatabase" localSheetId="3" hidden="1">CONTENTS!#REF!</definedName>
    <definedName name="_Hlk140134926" localSheetId="17">'CH 3 Natural Gas'!$B$14</definedName>
    <definedName name="_Hlk145522451" localSheetId="78">'7.0 CH LPG'!$B$6</definedName>
    <definedName name="aa" localSheetId="16">'[1]Oil Consumption - Barrels'!#REF!</definedName>
    <definedName name="aa" localSheetId="14">'[2]Oil Consumption - Barrels'!#REF!</definedName>
    <definedName name="aa" localSheetId="33">'[1]Oil Consumption - Barrels'!#REF!</definedName>
    <definedName name="aa" localSheetId="34">'[1]Oil Consumption - Barrels'!#REF!</definedName>
    <definedName name="aa" localSheetId="35">'[1]Oil Consumption - Barrels'!#REF!</definedName>
    <definedName name="aa" localSheetId="23">'[3]Oil Consumption - Barrels'!#REF!</definedName>
    <definedName name="aa" localSheetId="24">'[3]Oil Consumption - Barrels'!#REF!</definedName>
    <definedName name="aa" localSheetId="25">#REF!</definedName>
    <definedName name="aa" localSheetId="32">'[3]Oil Consumption - Barrels'!#REF!</definedName>
    <definedName name="aa" localSheetId="41">'[1]Oil Consumption - Barrels'!#REF!</definedName>
    <definedName name="aa" localSheetId="46">'[1]Oil Consumption - Barrels'!#REF!</definedName>
    <definedName name="aa" localSheetId="47">'[4]Oil Consumption - Barrels'!#REF!</definedName>
    <definedName name="aa" localSheetId="48">#REF!</definedName>
    <definedName name="aa" localSheetId="42">#REF!</definedName>
    <definedName name="aa" localSheetId="43">'[1]Oil Consumption - Barrels'!#REF!</definedName>
    <definedName name="aa" localSheetId="44">'[1]Oil Consumption - Barrels'!#REF!</definedName>
    <definedName name="aa" localSheetId="45">'[1]Oil Consumption - Barrels'!#REF!</definedName>
    <definedName name="aa" localSheetId="50">'[5]Oil Consumption - Barrels'!#REF!</definedName>
    <definedName name="aa" localSheetId="52">'[4]Oil Consumption - Barrels'!#REF!</definedName>
    <definedName name="aa" localSheetId="53">'[4]Oil Consumption - Barrels'!#REF!</definedName>
    <definedName name="aa" localSheetId="87">#REF!</definedName>
    <definedName name="aa" localSheetId="91">#REF!</definedName>
    <definedName name="aa" localSheetId="92">#REF!</definedName>
    <definedName name="aa" localSheetId="93">#REF!</definedName>
    <definedName name="aa" localSheetId="94">#REF!</definedName>
    <definedName name="aa" localSheetId="95">#REF!</definedName>
    <definedName name="aa" localSheetId="96">#REF!</definedName>
    <definedName name="aa" localSheetId="97">#REF!</definedName>
    <definedName name="aa" localSheetId="98">#REF!</definedName>
    <definedName name="aa" localSheetId="88">#REF!</definedName>
    <definedName name="aa" localSheetId="99">#REF!</definedName>
    <definedName name="aa" localSheetId="100">#REF!</definedName>
    <definedName name="aa" localSheetId="101">#REF!</definedName>
    <definedName name="aa" localSheetId="102">#REF!</definedName>
    <definedName name="aa" localSheetId="103">#REF!</definedName>
    <definedName name="aa" localSheetId="89">#REF!</definedName>
    <definedName name="aa" localSheetId="90">#REF!</definedName>
    <definedName name="aa" localSheetId="10">'[1]Oil Consumption - Barrels'!#REF!</definedName>
    <definedName name="aa" localSheetId="11">'[1]Oil Consumption - Barrels'!#REF!</definedName>
    <definedName name="aa" localSheetId="12">'[1]Oil Consumption - Barrels'!#REF!</definedName>
    <definedName name="aa">'[1]Oil Consumption - Barrels'!#REF!</definedName>
    <definedName name="bb" localSheetId="6">'[1]Oil Consumption - Barrels'!#REF!</definedName>
    <definedName name="bb" localSheetId="7">'[1]Oil Consumption - Barrels'!#REF!</definedName>
    <definedName name="bb" localSheetId="14">'[2]Oil Consumption - Barrels'!#REF!</definedName>
    <definedName name="bb" localSheetId="33">'[1]Oil Consumption - Barrels'!#REF!</definedName>
    <definedName name="bb" localSheetId="34">'[1]Oil Consumption - Barrels'!#REF!</definedName>
    <definedName name="bb" localSheetId="35">'[1]Oil Consumption - Barrels'!#REF!</definedName>
    <definedName name="bb" localSheetId="25">#REF!</definedName>
    <definedName name="bb" localSheetId="41">'[1]Oil Consumption - Barrels'!#REF!</definedName>
    <definedName name="bb" localSheetId="47">'[4]Oil Consumption - Barrels'!#REF!</definedName>
    <definedName name="bb" localSheetId="42">#REF!</definedName>
    <definedName name="bb" localSheetId="43">'[1]Oil Consumption - Barrels'!#REF!</definedName>
    <definedName name="bb" localSheetId="44">'[1]Oil Consumption - Barrels'!#REF!</definedName>
    <definedName name="bb" localSheetId="50">'[5]Oil Consumption - Barrels'!#REF!</definedName>
    <definedName name="bb" localSheetId="52">'[4]Oil Consumption - Barrels'!#REF!</definedName>
    <definedName name="bb" localSheetId="53">'[4]Oil Consumption - Barrels'!#REF!</definedName>
    <definedName name="bb" localSheetId="68">'[1]Oil Consumption - Barrels'!#REF!</definedName>
    <definedName name="bb" localSheetId="81">'[1]Oil Consumption - Barrels'!#REF!</definedName>
    <definedName name="bb" localSheetId="82">'[1]Oil Consumption - Barrels'!#REF!</definedName>
    <definedName name="bb" localSheetId="37">'[1]Oil Consumption - Barrels'!#REF!</definedName>
    <definedName name="bb">'[1]Oil Consumption - Barrels'!#REF!</definedName>
    <definedName name="INIT" localSheetId="6">#REF!</definedName>
    <definedName name="INIT" localSheetId="7">#REF!</definedName>
    <definedName name="INIT" localSheetId="16">#REF!</definedName>
    <definedName name="INIT" localSheetId="14">#REF!</definedName>
    <definedName name="INIT" localSheetId="33">#REF!</definedName>
    <definedName name="INIT" localSheetId="34">#REF!</definedName>
    <definedName name="INIT" localSheetId="35">#REF!</definedName>
    <definedName name="INIT" localSheetId="23">#REF!</definedName>
    <definedName name="INIT" localSheetId="24">#REF!</definedName>
    <definedName name="INIT" localSheetId="32">#REF!</definedName>
    <definedName name="INIT" localSheetId="41">#REF!</definedName>
    <definedName name="INIT" localSheetId="46">#REF!</definedName>
    <definedName name="INIT" localSheetId="47">#REF!</definedName>
    <definedName name="INIT" localSheetId="48">#REF!</definedName>
    <definedName name="INIT" localSheetId="42">#REF!</definedName>
    <definedName name="INIT" localSheetId="43">#REF!</definedName>
    <definedName name="INIT" localSheetId="44">#REF!</definedName>
    <definedName name="INIT" localSheetId="45">#REF!</definedName>
    <definedName name="INIT" localSheetId="50">#REF!</definedName>
    <definedName name="INIT" localSheetId="52">#REF!</definedName>
    <definedName name="INIT" localSheetId="53">#REF!</definedName>
    <definedName name="INIT" localSheetId="87">#REF!</definedName>
    <definedName name="INIT" localSheetId="91">#REF!</definedName>
    <definedName name="INIT" localSheetId="92">#REF!</definedName>
    <definedName name="INIT" localSheetId="93">#REF!</definedName>
    <definedName name="INIT" localSheetId="94">#REF!</definedName>
    <definedName name="INIT" localSheetId="95">#REF!</definedName>
    <definedName name="INIT" localSheetId="96">#REF!</definedName>
    <definedName name="INIT" localSheetId="97">#REF!</definedName>
    <definedName name="INIT" localSheetId="98">#REF!</definedName>
    <definedName name="INIT" localSheetId="88">#REF!</definedName>
    <definedName name="INIT" localSheetId="99">#REF!</definedName>
    <definedName name="INIT" localSheetId="100">#REF!</definedName>
    <definedName name="INIT" localSheetId="101">#REF!</definedName>
    <definedName name="INIT" localSheetId="102">#REF!</definedName>
    <definedName name="INIT" localSheetId="103">#REF!</definedName>
    <definedName name="INIT" localSheetId="89">#REF!</definedName>
    <definedName name="INIT" localSheetId="90">#REF!</definedName>
    <definedName name="INIT" localSheetId="37">#REF!</definedName>
    <definedName name="INIT" localSheetId="10">#REF!</definedName>
    <definedName name="INIT" localSheetId="11">#REF!</definedName>
    <definedName name="INIT" localSheetId="12">#REF!</definedName>
    <definedName name="INIT">#REF!</definedName>
    <definedName name="LEAP" localSheetId="16">#REF!</definedName>
    <definedName name="LEAP" localSheetId="14">#REF!</definedName>
    <definedName name="LEAP" localSheetId="33">#REF!</definedName>
    <definedName name="LEAP" localSheetId="34">#REF!</definedName>
    <definedName name="LEAP" localSheetId="35">#REF!</definedName>
    <definedName name="LEAP" localSheetId="23">#REF!</definedName>
    <definedName name="LEAP" localSheetId="24">#REF!</definedName>
    <definedName name="LEAP" localSheetId="32">#REF!</definedName>
    <definedName name="LEAP" localSheetId="41">#REF!</definedName>
    <definedName name="LEAP" localSheetId="46">#REF!</definedName>
    <definedName name="LEAP" localSheetId="47">#REF!</definedName>
    <definedName name="LEAP" localSheetId="48">#REF!</definedName>
    <definedName name="LEAP" localSheetId="42">#REF!</definedName>
    <definedName name="LEAP" localSheetId="43">#REF!</definedName>
    <definedName name="LEAP" localSheetId="44">#REF!</definedName>
    <definedName name="LEAP" localSheetId="45">#REF!</definedName>
    <definedName name="LEAP" localSheetId="50">#REF!</definedName>
    <definedName name="LEAP" localSheetId="52">#REF!</definedName>
    <definedName name="LEAP" localSheetId="53">#REF!</definedName>
    <definedName name="LEAP" localSheetId="87">#REF!</definedName>
    <definedName name="LEAP" localSheetId="91">#REF!</definedName>
    <definedName name="LEAP" localSheetId="92">#REF!</definedName>
    <definedName name="LEAP" localSheetId="93">#REF!</definedName>
    <definedName name="LEAP" localSheetId="94">#REF!</definedName>
    <definedName name="LEAP" localSheetId="95">#REF!</definedName>
    <definedName name="LEAP" localSheetId="96">#REF!</definedName>
    <definedName name="LEAP" localSheetId="97">#REF!</definedName>
    <definedName name="LEAP" localSheetId="98">#REF!</definedName>
    <definedName name="LEAP" localSheetId="88">#REF!</definedName>
    <definedName name="LEAP" localSheetId="99">#REF!</definedName>
    <definedName name="LEAP" localSheetId="100">#REF!</definedName>
    <definedName name="LEAP" localSheetId="101">#REF!</definedName>
    <definedName name="LEAP" localSheetId="102">#REF!</definedName>
    <definedName name="LEAP" localSheetId="103">#REF!</definedName>
    <definedName name="LEAP" localSheetId="89">#REF!</definedName>
    <definedName name="LEAP" localSheetId="90">#REF!</definedName>
    <definedName name="LEAP" localSheetId="10">#REF!</definedName>
    <definedName name="LEAP" localSheetId="11">#REF!</definedName>
    <definedName name="LEAP" localSheetId="12">#REF!</definedName>
    <definedName name="LEAP">#REF!</definedName>
    <definedName name="NONLEAP" localSheetId="16">#REF!</definedName>
    <definedName name="NONLEAP" localSheetId="14">#REF!</definedName>
    <definedName name="NONLEAP" localSheetId="33">#REF!</definedName>
    <definedName name="NONLEAP" localSheetId="34">#REF!</definedName>
    <definedName name="NONLEAP" localSheetId="35">#REF!</definedName>
    <definedName name="NONLEAP" localSheetId="23">#REF!</definedName>
    <definedName name="NONLEAP" localSheetId="24">#REF!</definedName>
    <definedName name="NONLEAP" localSheetId="32">#REF!</definedName>
    <definedName name="NONLEAP" localSheetId="41">#REF!</definedName>
    <definedName name="NONLEAP" localSheetId="46">#REF!</definedName>
    <definedName name="NONLEAP" localSheetId="47">#REF!</definedName>
    <definedName name="NONLEAP" localSheetId="48">#REF!</definedName>
    <definedName name="NONLEAP" localSheetId="42">#REF!</definedName>
    <definedName name="NONLEAP" localSheetId="43">#REF!</definedName>
    <definedName name="NONLEAP" localSheetId="44">#REF!</definedName>
    <definedName name="NONLEAP" localSheetId="45">#REF!</definedName>
    <definedName name="NONLEAP" localSheetId="50">#REF!</definedName>
    <definedName name="NONLEAP" localSheetId="52">#REF!</definedName>
    <definedName name="NONLEAP" localSheetId="53">#REF!</definedName>
    <definedName name="NONLEAP" localSheetId="87">#REF!</definedName>
    <definedName name="NONLEAP" localSheetId="91">#REF!</definedName>
    <definedName name="NONLEAP" localSheetId="92">#REF!</definedName>
    <definedName name="NONLEAP" localSheetId="93">#REF!</definedName>
    <definedName name="NONLEAP" localSheetId="94">#REF!</definedName>
    <definedName name="NONLEAP" localSheetId="95">#REF!</definedName>
    <definedName name="NONLEAP" localSheetId="96">#REF!</definedName>
    <definedName name="NONLEAP" localSheetId="97">#REF!</definedName>
    <definedName name="NONLEAP" localSheetId="98">#REF!</definedName>
    <definedName name="NONLEAP" localSheetId="88">#REF!</definedName>
    <definedName name="NONLEAP" localSheetId="99">#REF!</definedName>
    <definedName name="NONLEAP" localSheetId="100">#REF!</definedName>
    <definedName name="NONLEAP" localSheetId="101">#REF!</definedName>
    <definedName name="NONLEAP" localSheetId="102">#REF!</definedName>
    <definedName name="NONLEAP" localSheetId="103">#REF!</definedName>
    <definedName name="NONLEAP" localSheetId="89">#REF!</definedName>
    <definedName name="NONLEAP" localSheetId="90">#REF!</definedName>
    <definedName name="NONLEAP" localSheetId="10">#REF!</definedName>
    <definedName name="NONLEAP" localSheetId="11">#REF!</definedName>
    <definedName name="NONLEAP" localSheetId="12">#REF!</definedName>
    <definedName name="NONLEAP">#REF!</definedName>
    <definedName name="_xlnm.Print_Area" localSheetId="4">'1.1'!$A$1:$X$28</definedName>
    <definedName name="_xlnm.Print_Area" localSheetId="5">'1.12'!$A$35:$V$82</definedName>
    <definedName name="_xlnm.Print_Area" localSheetId="7">'1.2 (a)'!$A$1:$G$57</definedName>
    <definedName name="_xlnm.Print_Area" localSheetId="8">'2.0 CH E&amp;P'!$C$2:$C$9</definedName>
    <definedName name="_xlnm.Print_Area" localSheetId="18">'3.1'!$A$1:$G$42</definedName>
    <definedName name="_xlnm.Print_Area" localSheetId="33">'3.11'!$C$3:$G$90</definedName>
    <definedName name="_xlnm.Print_Area" localSheetId="36">'3.12BC'!$C$3:$I$94</definedName>
    <definedName name="_xlnm.Print_Area" localSheetId="20">'3.2 a'!$A$1:$G$28</definedName>
    <definedName name="_xlnm.Print_Area" localSheetId="22">'3.3 (a)'!$A$2:$G$36</definedName>
    <definedName name="_xlnm.Print_Area" localSheetId="23">'3.4+3.5 '!$A$1:$F$42</definedName>
    <definedName name="_xlnm.Print_Area" localSheetId="24">'3.4+3.5 Graph'!$B$45:$L$89</definedName>
    <definedName name="_xlnm.Print_Area" localSheetId="26">#REF!</definedName>
    <definedName name="_xlnm.Print_Area" localSheetId="27">'3.7'!$B$2:$K$52</definedName>
    <definedName name="_xlnm.Print_Area" localSheetId="29">'3.7a'!$A$1:$H$40</definedName>
    <definedName name="_xlnm.Print_Area" localSheetId="30">'3.7b'!$A$1:$H$40</definedName>
    <definedName name="_xlnm.Print_Area" localSheetId="31">'3.8'!$A$1:$F$40</definedName>
    <definedName name="_xlnm.Print_Area" localSheetId="47">'4.11'!$B$2:$AA$53</definedName>
    <definedName name="_xlnm.Print_Area" localSheetId="45">'4.9'!$C$1:$W$35</definedName>
    <definedName name="_xlnm.Print_Area" localSheetId="50">'5.1'!$A$3:$Q$59</definedName>
    <definedName name="_xlnm.Print_Area" localSheetId="53">'5.3'!$A$1:$G$94</definedName>
    <definedName name="_xlnm.Print_Area" localSheetId="56">'6.1'!$B$1:$N$42</definedName>
    <definedName name="_xlnm.Print_Area" localSheetId="61">'6.3A'!$B$1:$N$53</definedName>
    <definedName name="_xlnm.Print_Area" localSheetId="62">'6.3B'!$B$1:$P$55</definedName>
    <definedName name="_xlnm.Print_Area" localSheetId="63">'6.4A'!$A$1:$I$54</definedName>
    <definedName name="_xlnm.Print_Area" localSheetId="64">'6.4B '!$A$1:$I$58</definedName>
    <definedName name="_xlnm.Print_Area" localSheetId="65">'6.4C'!$A$1:$I$55</definedName>
    <definedName name="_xlnm.Print_Area" localSheetId="67">'6.5'!$B$1:$N$51</definedName>
    <definedName name="_xlnm.Print_Area" localSheetId="68">'6.6'!$B$1:$AN$49</definedName>
    <definedName name="_xlnm.Print_Area" localSheetId="70">'6.6 PSU RO'!$C$2:$Q$54</definedName>
    <definedName name="_xlnm.Print_Area" localSheetId="72">'6.8'!$C$3:$U$71</definedName>
    <definedName name="_xlnm.Print_Area" localSheetId="73">'6.81_Charts'!$C$2:$S$68</definedName>
    <definedName name="_xlnm.Print_Area" localSheetId="75">'6.9'!$B$2:$F$47</definedName>
    <definedName name="_xlnm.Print_Area" localSheetId="80">'7.2'!$C$1:$H$59</definedName>
    <definedName name="_xlnm.Print_Area" localSheetId="81">'7.3'!$B$1:$G$74</definedName>
    <definedName name="_xlnm.Print_Area" localSheetId="86">'8.1'!$A$1:$C$45</definedName>
    <definedName name="_xlnm.Print_Area" localSheetId="87">'8.1 graph'!$A$1:$S$71</definedName>
    <definedName name="_xlnm.Print_Area" localSheetId="93">'8.13'!$A$1:$F$28</definedName>
    <definedName name="_xlnm.Print_Area" localSheetId="94">'8.14 &amp; 8.15'!$A$1:$F$51</definedName>
    <definedName name="_xlnm.Print_Area" localSheetId="96">'8.17'!$A$1:$H$45</definedName>
    <definedName name="_xlnm.Print_Area" localSheetId="101">'8.22'!$A$1:$L$49</definedName>
    <definedName name="_xlnm.Print_Area" localSheetId="106">Abreviations!$B$1:$F$34</definedName>
    <definedName name="_xlnm.Print_Area" localSheetId="3">CONTENTS!#REF!</definedName>
    <definedName name="_xlnm.Print_Area" localSheetId="2">Cover!#REF!</definedName>
    <definedName name="_xlnm.Print_Area" localSheetId="37">'NG Sectoral'!$C$1:$O$89</definedName>
    <definedName name="_xlnm.Print_Area" localSheetId="77">'POL Market Share'!$D$3:$R$45</definedName>
    <definedName name="_xlnm.Print_Area" localSheetId="58">'POL Market Share (2)'!$D$3:$R$45</definedName>
    <definedName name="_xlnm.Print_Area" localSheetId="60">POL_sectoral!$A$1:$Q$233</definedName>
    <definedName name="_xlnm.Print_Area" localSheetId="0">Preface!$A$1:$A$49</definedName>
    <definedName name="_xlnm.Print_Titles" localSheetId="26">'3.6'!#REF!</definedName>
    <definedName name="_xlnm.Print_Titles" localSheetId="50">'5.1'!$3:$4</definedName>
    <definedName name="_xlnm.Print_Titles" localSheetId="53">'5.3'!$1:$3</definedName>
    <definedName name="_xlnm.Print_Titles" localSheetId="3">CONTENTS!#REF!</definedName>
    <definedName name="Print1" localSheetId="16">#REF!</definedName>
    <definedName name="Print1" localSheetId="14">#REF!</definedName>
    <definedName name="Print1" localSheetId="33">#REF!</definedName>
    <definedName name="Print1" localSheetId="23">#REF!</definedName>
    <definedName name="Print1" localSheetId="24">#REF!</definedName>
    <definedName name="Print1" localSheetId="32">#REF!</definedName>
    <definedName name="Print1" localSheetId="41">#REF!</definedName>
    <definedName name="Print1" localSheetId="46">#REF!</definedName>
    <definedName name="Print1" localSheetId="47">#REF!</definedName>
    <definedName name="Print1" localSheetId="48">#REF!</definedName>
    <definedName name="Print1" localSheetId="42">#REF!</definedName>
    <definedName name="Print1" localSheetId="43">#REF!</definedName>
    <definedName name="Print1" localSheetId="44">#REF!</definedName>
    <definedName name="Print1" localSheetId="45">#REF!</definedName>
    <definedName name="Print1" localSheetId="50">#REF!</definedName>
    <definedName name="Print1" localSheetId="52">#REF!</definedName>
    <definedName name="Print1" localSheetId="53">#REF!</definedName>
    <definedName name="Print1" localSheetId="87">#REF!</definedName>
    <definedName name="Print1" localSheetId="91">#REF!</definedName>
    <definedName name="Print1" localSheetId="92">#REF!</definedName>
    <definedName name="Print1" localSheetId="93">#REF!</definedName>
    <definedName name="Print1" localSheetId="94">#REF!</definedName>
    <definedName name="Print1" localSheetId="95">#REF!</definedName>
    <definedName name="Print1" localSheetId="96">#REF!</definedName>
    <definedName name="Print1" localSheetId="97">#REF!</definedName>
    <definedName name="Print1" localSheetId="98">#REF!</definedName>
    <definedName name="Print1" localSheetId="88">#REF!</definedName>
    <definedName name="Print1" localSheetId="99">#REF!</definedName>
    <definedName name="Print1" localSheetId="100">#REF!</definedName>
    <definedName name="Print1" localSheetId="101">#REF!</definedName>
    <definedName name="Print1" localSheetId="102">#REF!</definedName>
    <definedName name="Print1" localSheetId="103">#REF!</definedName>
    <definedName name="Print1" localSheetId="89">#REF!</definedName>
    <definedName name="Print1" localSheetId="90">#REF!</definedName>
    <definedName name="Print1" localSheetId="10">#REF!</definedName>
    <definedName name="Print1" localSheetId="11">#REF!</definedName>
    <definedName name="Print1" localSheetId="12">#REF!</definedName>
    <definedName name="Print1">#REF!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W46" i="249" l="1"/>
  <c r="W45" i="249"/>
  <c r="C5" i="202"/>
  <c r="D5" i="202" s="1"/>
  <c r="E5" i="202"/>
  <c r="F5" i="202"/>
  <c r="G5" i="202"/>
  <c r="H5" i="202"/>
  <c r="I5" i="202"/>
  <c r="J5" i="202"/>
  <c r="K5" i="202"/>
  <c r="L5" i="202"/>
  <c r="M5" i="202"/>
  <c r="N5" i="202" s="1"/>
  <c r="C6" i="202"/>
  <c r="C15" i="202" s="1"/>
  <c r="D15" i="202" s="1"/>
  <c r="D6" i="202"/>
  <c r="E6" i="202"/>
  <c r="E15" i="202" s="1"/>
  <c r="F15" i="202" s="1"/>
  <c r="F6" i="202"/>
  <c r="G6" i="202"/>
  <c r="G15" i="202" s="1"/>
  <c r="H15" i="202" s="1"/>
  <c r="H6" i="202"/>
  <c r="I6" i="202"/>
  <c r="I15" i="202" s="1"/>
  <c r="J15" i="202" s="1"/>
  <c r="K6" i="202"/>
  <c r="K15" i="202" s="1"/>
  <c r="L15" i="202" s="1"/>
  <c r="L6" i="202"/>
  <c r="M6" i="202"/>
  <c r="M15" i="202" s="1"/>
  <c r="N15" i="202" s="1"/>
  <c r="N6" i="202"/>
  <c r="C7" i="202"/>
  <c r="D7" i="202"/>
  <c r="E7" i="202"/>
  <c r="F7" i="202"/>
  <c r="G7" i="202"/>
  <c r="H7" i="202"/>
  <c r="I7" i="202"/>
  <c r="J7" i="202"/>
  <c r="K7" i="202"/>
  <c r="L7" i="202"/>
  <c r="M7" i="202"/>
  <c r="N7" i="202" s="1"/>
  <c r="C8" i="202"/>
  <c r="D8" i="202"/>
  <c r="E8" i="202"/>
  <c r="F8" i="202"/>
  <c r="G8" i="202"/>
  <c r="H8" i="202"/>
  <c r="I8" i="202"/>
  <c r="J8" i="202" s="1"/>
  <c r="K8" i="202"/>
  <c r="L8" i="202"/>
  <c r="M8" i="202"/>
  <c r="N8" i="202"/>
  <c r="C9" i="202"/>
  <c r="D9" i="202"/>
  <c r="E9" i="202"/>
  <c r="F9" i="202"/>
  <c r="G9" i="202"/>
  <c r="H9" i="202"/>
  <c r="I9" i="202"/>
  <c r="J9" i="202"/>
  <c r="K9" i="202"/>
  <c r="L9" i="202"/>
  <c r="M9" i="202"/>
  <c r="N9" i="202" s="1"/>
  <c r="C10" i="202"/>
  <c r="D10" i="202"/>
  <c r="E10" i="202"/>
  <c r="F10" i="202"/>
  <c r="G10" i="202"/>
  <c r="H10" i="202"/>
  <c r="I10" i="202"/>
  <c r="J10" i="202" s="1"/>
  <c r="K10" i="202"/>
  <c r="L10" i="202"/>
  <c r="M10" i="202"/>
  <c r="N10" i="202"/>
  <c r="C11" i="202"/>
  <c r="D11" i="202"/>
  <c r="E11" i="202"/>
  <c r="F11" i="202"/>
  <c r="G11" i="202"/>
  <c r="H11" i="202"/>
  <c r="I11" i="202"/>
  <c r="J11" i="202"/>
  <c r="K11" i="202"/>
  <c r="L11" i="202"/>
  <c r="M11" i="202"/>
  <c r="N11" i="202" s="1"/>
  <c r="C12" i="202"/>
  <c r="D12" i="202"/>
  <c r="E12" i="202"/>
  <c r="F12" i="202"/>
  <c r="G12" i="202"/>
  <c r="H12" i="202"/>
  <c r="I12" i="202"/>
  <c r="J12" i="202" s="1"/>
  <c r="K12" i="202"/>
  <c r="L12" i="202"/>
  <c r="M12" i="202"/>
  <c r="N12" i="202"/>
  <c r="C13" i="202"/>
  <c r="D13" i="202"/>
  <c r="E13" i="202"/>
  <c r="F13" i="202"/>
  <c r="G13" i="202"/>
  <c r="H13" i="202"/>
  <c r="I13" i="202"/>
  <c r="J13" i="202"/>
  <c r="K13" i="202"/>
  <c r="L13" i="202"/>
  <c r="M13" i="202"/>
  <c r="N13" i="202" s="1"/>
  <c r="C14" i="202"/>
  <c r="D14" i="202"/>
  <c r="E14" i="202"/>
  <c r="F14" i="202"/>
  <c r="G14" i="202"/>
  <c r="H14" i="202"/>
  <c r="I14" i="202"/>
  <c r="J14" i="202" s="1"/>
  <c r="K14" i="202"/>
  <c r="L14" i="202"/>
  <c r="M14" i="202"/>
  <c r="N14" i="202"/>
  <c r="C16" i="202"/>
  <c r="C21" i="202" s="1"/>
  <c r="D21" i="202" s="1"/>
  <c r="D16" i="202"/>
  <c r="E16" i="202"/>
  <c r="E21" i="202" s="1"/>
  <c r="F21" i="202" s="1"/>
  <c r="F16" i="202"/>
  <c r="G16" i="202"/>
  <c r="G21" i="202" s="1"/>
  <c r="H21" i="202" s="1"/>
  <c r="H16" i="202"/>
  <c r="I16" i="202"/>
  <c r="I21" i="202" s="1"/>
  <c r="J21" i="202" s="1"/>
  <c r="K16" i="202"/>
  <c r="K21" i="202" s="1"/>
  <c r="L21" i="202" s="1"/>
  <c r="L16" i="202"/>
  <c r="M16" i="202"/>
  <c r="M21" i="202" s="1"/>
  <c r="N21" i="202" s="1"/>
  <c r="N16" i="202"/>
  <c r="C17" i="202"/>
  <c r="D17" i="202"/>
  <c r="E17" i="202"/>
  <c r="F17" i="202"/>
  <c r="G17" i="202"/>
  <c r="H17" i="202"/>
  <c r="I17" i="202"/>
  <c r="J17" i="202"/>
  <c r="K17" i="202"/>
  <c r="L17" i="202"/>
  <c r="M17" i="202"/>
  <c r="N17" i="202" s="1"/>
  <c r="C18" i="202"/>
  <c r="D18" i="202"/>
  <c r="E18" i="202"/>
  <c r="F18" i="202"/>
  <c r="G18" i="202"/>
  <c r="H18" i="202"/>
  <c r="I18" i="202"/>
  <c r="J18" i="202" s="1"/>
  <c r="K18" i="202"/>
  <c r="L18" i="202"/>
  <c r="M18" i="202"/>
  <c r="N18" i="202"/>
  <c r="C19" i="202"/>
  <c r="D19" i="202"/>
  <c r="E19" i="202"/>
  <c r="F19" i="202"/>
  <c r="G19" i="202"/>
  <c r="H19" i="202"/>
  <c r="I19" i="202"/>
  <c r="J19" i="202"/>
  <c r="K19" i="202"/>
  <c r="L19" i="202"/>
  <c r="M19" i="202"/>
  <c r="N19" i="202" s="1"/>
  <c r="C20" i="202"/>
  <c r="D20" i="202"/>
  <c r="E20" i="202"/>
  <c r="F20" i="202"/>
  <c r="G20" i="202"/>
  <c r="H20" i="202"/>
  <c r="I20" i="202"/>
  <c r="J20" i="202" s="1"/>
  <c r="K20" i="202"/>
  <c r="L20" i="202"/>
  <c r="M20" i="202"/>
  <c r="N20" i="202"/>
  <c r="C22" i="202"/>
  <c r="D22" i="202"/>
  <c r="E22" i="202"/>
  <c r="F22" i="202"/>
  <c r="G22" i="202"/>
  <c r="H22" i="202"/>
  <c r="I22" i="202"/>
  <c r="J22" i="202" s="1"/>
  <c r="K22" i="202"/>
  <c r="K30" i="202" s="1"/>
  <c r="L30" i="202" s="1"/>
  <c r="L22" i="202"/>
  <c r="M22" i="202"/>
  <c r="N22" i="202"/>
  <c r="C23" i="202"/>
  <c r="D23" i="202"/>
  <c r="E23" i="202"/>
  <c r="F23" i="202"/>
  <c r="G23" i="202"/>
  <c r="H23" i="202"/>
  <c r="I23" i="202"/>
  <c r="J23" i="202"/>
  <c r="K23" i="202"/>
  <c r="L23" i="202"/>
  <c r="M23" i="202"/>
  <c r="N23" i="202" s="1"/>
  <c r="C24" i="202"/>
  <c r="D24" i="202"/>
  <c r="E24" i="202"/>
  <c r="F24" i="202"/>
  <c r="G24" i="202"/>
  <c r="H24" i="202"/>
  <c r="I24" i="202"/>
  <c r="J24" i="202" s="1"/>
  <c r="K24" i="202"/>
  <c r="L24" i="202"/>
  <c r="M24" i="202"/>
  <c r="N24" i="202"/>
  <c r="C25" i="202"/>
  <c r="D25" i="202"/>
  <c r="E25" i="202"/>
  <c r="F25" i="202"/>
  <c r="G25" i="202"/>
  <c r="H25" i="202"/>
  <c r="I25" i="202"/>
  <c r="J25" i="202"/>
  <c r="K25" i="202"/>
  <c r="L25" i="202"/>
  <c r="M25" i="202"/>
  <c r="N25" i="202" s="1"/>
  <c r="C26" i="202"/>
  <c r="D26" i="202"/>
  <c r="E26" i="202"/>
  <c r="F26" i="202"/>
  <c r="G26" i="202"/>
  <c r="H26" i="202"/>
  <c r="I26" i="202"/>
  <c r="J26" i="202" s="1"/>
  <c r="K26" i="202"/>
  <c r="L26" i="202"/>
  <c r="M26" i="202"/>
  <c r="N26" i="202"/>
  <c r="C27" i="202"/>
  <c r="D27" i="202"/>
  <c r="E27" i="202"/>
  <c r="F27" i="202"/>
  <c r="G27" i="202"/>
  <c r="H27" i="202"/>
  <c r="I27" i="202"/>
  <c r="J27" i="202"/>
  <c r="K27" i="202"/>
  <c r="L27" i="202"/>
  <c r="M27" i="202"/>
  <c r="N27" i="202" s="1"/>
  <c r="C28" i="202"/>
  <c r="D28" i="202"/>
  <c r="E28" i="202"/>
  <c r="F28" i="202"/>
  <c r="G28" i="202"/>
  <c r="H28" i="202"/>
  <c r="I28" i="202"/>
  <c r="J28" i="202" s="1"/>
  <c r="K28" i="202"/>
  <c r="L28" i="202"/>
  <c r="M28" i="202"/>
  <c r="N28" i="202"/>
  <c r="C29" i="202"/>
  <c r="D29" i="202"/>
  <c r="E29" i="202"/>
  <c r="F29" i="202"/>
  <c r="G29" i="202"/>
  <c r="H29" i="202"/>
  <c r="I29" i="202"/>
  <c r="J29" i="202"/>
  <c r="K29" i="202"/>
  <c r="L29" i="202"/>
  <c r="M29" i="202"/>
  <c r="N29" i="202" s="1"/>
  <c r="C30" i="202"/>
  <c r="D30" i="202"/>
  <c r="E30" i="202"/>
  <c r="F30" i="202"/>
  <c r="G30" i="202"/>
  <c r="H30" i="202"/>
  <c r="I30" i="202"/>
  <c r="J30" i="202" s="1"/>
  <c r="M30" i="202"/>
  <c r="N30" i="202"/>
  <c r="C31" i="202"/>
  <c r="D31" i="202"/>
  <c r="E31" i="202"/>
  <c r="F31" i="202"/>
  <c r="G31" i="202"/>
  <c r="H31" i="202"/>
  <c r="I31" i="202"/>
  <c r="J31" i="202"/>
  <c r="K31" i="202"/>
  <c r="L31" i="202"/>
  <c r="M31" i="202"/>
  <c r="N31" i="202" s="1"/>
  <c r="C32" i="202"/>
  <c r="C37" i="202" s="1"/>
  <c r="D37" i="202" s="1"/>
  <c r="D32" i="202"/>
  <c r="E32" i="202"/>
  <c r="E37" i="202" s="1"/>
  <c r="F37" i="202" s="1"/>
  <c r="F32" i="202"/>
  <c r="G32" i="202"/>
  <c r="G37" i="202" s="1"/>
  <c r="H37" i="202" s="1"/>
  <c r="H32" i="202"/>
  <c r="I32" i="202"/>
  <c r="I37" i="202" s="1"/>
  <c r="J37" i="202" s="1"/>
  <c r="K32" i="202"/>
  <c r="K37" i="202" s="1"/>
  <c r="L37" i="202" s="1"/>
  <c r="L32" i="202"/>
  <c r="M32" i="202"/>
  <c r="M37" i="202" s="1"/>
  <c r="N37" i="202" s="1"/>
  <c r="N32" i="202"/>
  <c r="C33" i="202"/>
  <c r="D33" i="202"/>
  <c r="E33" i="202"/>
  <c r="F33" i="202"/>
  <c r="G33" i="202"/>
  <c r="H33" i="202"/>
  <c r="I33" i="202"/>
  <c r="J33" i="202"/>
  <c r="K33" i="202"/>
  <c r="L33" i="202"/>
  <c r="M33" i="202"/>
  <c r="N33" i="202" s="1"/>
  <c r="C34" i="202"/>
  <c r="D34" i="202"/>
  <c r="E34" i="202"/>
  <c r="F34" i="202"/>
  <c r="G34" i="202"/>
  <c r="H34" i="202"/>
  <c r="I34" i="202"/>
  <c r="J34" i="202" s="1"/>
  <c r="K34" i="202"/>
  <c r="L34" i="202"/>
  <c r="M34" i="202"/>
  <c r="N34" i="202"/>
  <c r="C35" i="202"/>
  <c r="D35" i="202"/>
  <c r="E35" i="202"/>
  <c r="F35" i="202"/>
  <c r="G35" i="202"/>
  <c r="H35" i="202"/>
  <c r="I35" i="202"/>
  <c r="J35" i="202"/>
  <c r="K35" i="202"/>
  <c r="L35" i="202"/>
  <c r="M35" i="202"/>
  <c r="N35" i="202" s="1"/>
  <c r="C36" i="202"/>
  <c r="D36" i="202"/>
  <c r="E36" i="202"/>
  <c r="F36" i="202"/>
  <c r="G36" i="202"/>
  <c r="H36" i="202"/>
  <c r="I36" i="202"/>
  <c r="J36" i="202" s="1"/>
  <c r="K36" i="202"/>
  <c r="L36" i="202"/>
  <c r="M36" i="202"/>
  <c r="N36" i="202"/>
  <c r="C38" i="202"/>
  <c r="C45" i="202" s="1"/>
  <c r="D38" i="202"/>
  <c r="E38" i="202"/>
  <c r="E45" i="202" s="1"/>
  <c r="F38" i="202"/>
  <c r="G38" i="202"/>
  <c r="G45" i="202" s="1"/>
  <c r="H38" i="202"/>
  <c r="I38" i="202"/>
  <c r="I45" i="202" s="1"/>
  <c r="K38" i="202"/>
  <c r="K45" i="202" s="1"/>
  <c r="L38" i="202"/>
  <c r="M38" i="202"/>
  <c r="M45" i="202" s="1"/>
  <c r="N38" i="202"/>
  <c r="C39" i="202"/>
  <c r="D39" i="202"/>
  <c r="E39" i="202"/>
  <c r="F39" i="202"/>
  <c r="G39" i="202"/>
  <c r="H39" i="202"/>
  <c r="I39" i="202"/>
  <c r="J39" i="202"/>
  <c r="K39" i="202"/>
  <c r="L39" i="202"/>
  <c r="M39" i="202"/>
  <c r="N39" i="202" s="1"/>
  <c r="C40" i="202"/>
  <c r="D40" i="202"/>
  <c r="E40" i="202"/>
  <c r="F40" i="202"/>
  <c r="G40" i="202"/>
  <c r="H40" i="202"/>
  <c r="I40" i="202"/>
  <c r="J40" i="202" s="1"/>
  <c r="K40" i="202"/>
  <c r="L40" i="202"/>
  <c r="M40" i="202"/>
  <c r="N40" i="202"/>
  <c r="C41" i="202"/>
  <c r="D41" i="202"/>
  <c r="E41" i="202"/>
  <c r="F41" i="202"/>
  <c r="G41" i="202"/>
  <c r="H41" i="202"/>
  <c r="I41" i="202"/>
  <c r="J41" i="202"/>
  <c r="K41" i="202"/>
  <c r="L41" i="202"/>
  <c r="M41" i="202"/>
  <c r="N41" i="202" s="1"/>
  <c r="C42" i="202"/>
  <c r="D42" i="202"/>
  <c r="E42" i="202"/>
  <c r="F42" i="202"/>
  <c r="G42" i="202"/>
  <c r="H42" i="202"/>
  <c r="I42" i="202"/>
  <c r="J42" i="202" s="1"/>
  <c r="K42" i="202"/>
  <c r="L42" i="202"/>
  <c r="M42" i="202"/>
  <c r="N42" i="202"/>
  <c r="C43" i="202"/>
  <c r="D43" i="202"/>
  <c r="E43" i="202"/>
  <c r="F43" i="202"/>
  <c r="G43" i="202"/>
  <c r="H43" i="202"/>
  <c r="I43" i="202"/>
  <c r="J43" i="202"/>
  <c r="K43" i="202"/>
  <c r="L43" i="202"/>
  <c r="M43" i="202"/>
  <c r="N43" i="202" s="1"/>
  <c r="C44" i="202"/>
  <c r="D44" i="202"/>
  <c r="E44" i="202"/>
  <c r="F44" i="202"/>
  <c r="G44" i="202"/>
  <c r="H44" i="202"/>
  <c r="I44" i="202"/>
  <c r="J44" i="202" s="1"/>
  <c r="K44" i="202"/>
  <c r="L44" i="202"/>
  <c r="M44" i="202"/>
  <c r="N44" i="202"/>
  <c r="U3" i="202"/>
  <c r="R5" i="202"/>
  <c r="S5" i="202" s="1"/>
  <c r="R6" i="202"/>
  <c r="S6" i="202"/>
  <c r="S7" i="202"/>
  <c r="S8" i="202"/>
  <c r="S9" i="202"/>
  <c r="S10" i="202"/>
  <c r="S11" i="202"/>
  <c r="S12" i="202"/>
  <c r="S13" i="202"/>
  <c r="S14" i="202"/>
  <c r="R15" i="202"/>
  <c r="S15" i="202" s="1"/>
  <c r="S16" i="202"/>
  <c r="S17" i="202"/>
  <c r="S18" i="202"/>
  <c r="S19" i="202"/>
  <c r="S20" i="202"/>
  <c r="R21" i="202"/>
  <c r="R47" i="202" s="1"/>
  <c r="S47" i="202" s="1"/>
  <c r="S21" i="202"/>
  <c r="S22" i="202"/>
  <c r="S23" i="202"/>
  <c r="S24" i="202"/>
  <c r="S25" i="202"/>
  <c r="S26" i="202"/>
  <c r="S27" i="202"/>
  <c r="S28" i="202"/>
  <c r="S29" i="202"/>
  <c r="R30" i="202"/>
  <c r="S30" i="202"/>
  <c r="S31" i="202"/>
  <c r="S32" i="202"/>
  <c r="S33" i="202"/>
  <c r="S34" i="202"/>
  <c r="S35" i="202"/>
  <c r="S36" i="202"/>
  <c r="R37" i="202"/>
  <c r="S37" i="202"/>
  <c r="S38" i="202"/>
  <c r="S39" i="202"/>
  <c r="S40" i="202"/>
  <c r="S41" i="202"/>
  <c r="S42" i="202"/>
  <c r="S43" i="202"/>
  <c r="S44" i="202"/>
  <c r="R45" i="202"/>
  <c r="S45" i="202" s="1"/>
  <c r="V45" i="202"/>
  <c r="W45" i="202"/>
  <c r="X45" i="202"/>
  <c r="Y45" i="202"/>
  <c r="Z45" i="202"/>
  <c r="AA45" i="202"/>
  <c r="AB45" i="202"/>
  <c r="AC45" i="202"/>
  <c r="AD45" i="202"/>
  <c r="AE45" i="202"/>
  <c r="AF45" i="202"/>
  <c r="AG45" i="202"/>
  <c r="AH45" i="202"/>
  <c r="V47" i="202"/>
  <c r="E32" i="34"/>
  <c r="H45" i="202" l="1"/>
  <c r="G47" i="202"/>
  <c r="H47" i="202" s="1"/>
  <c r="F45" i="202"/>
  <c r="E47" i="202"/>
  <c r="F47" i="202" s="1"/>
  <c r="D45" i="202"/>
  <c r="C47" i="202"/>
  <c r="D47" i="202" s="1"/>
  <c r="J45" i="202"/>
  <c r="I47" i="202"/>
  <c r="J47" i="202" s="1"/>
  <c r="L45" i="202"/>
  <c r="K47" i="202"/>
  <c r="L47" i="202" s="1"/>
  <c r="N45" i="202"/>
  <c r="M47" i="202"/>
  <c r="N47" i="202" s="1"/>
  <c r="J38" i="202"/>
  <c r="J32" i="202"/>
  <c r="J16" i="202"/>
  <c r="J6" i="202"/>
  <c r="U2" i="202"/>
  <c r="H12" i="112" l="1"/>
  <c r="G12" i="112"/>
  <c r="F12" i="112"/>
  <c r="H9" i="112"/>
  <c r="G9" i="112"/>
  <c r="F9" i="112"/>
  <c r="H6" i="112"/>
  <c r="G6" i="112"/>
  <c r="F6" i="112"/>
  <c r="L44" i="286"/>
  <c r="K44" i="286"/>
  <c r="J44" i="286"/>
  <c r="I44" i="286"/>
  <c r="H44" i="286"/>
  <c r="G44" i="286"/>
  <c r="F44" i="286"/>
  <c r="E44" i="286"/>
  <c r="D44" i="286"/>
  <c r="C44" i="286"/>
  <c r="L30" i="286"/>
  <c r="K30" i="286"/>
  <c r="J30" i="286"/>
  <c r="I30" i="286"/>
  <c r="H30" i="286"/>
  <c r="G30" i="286"/>
  <c r="F30" i="286"/>
  <c r="E30" i="286"/>
  <c r="D30" i="286"/>
  <c r="C30" i="286"/>
  <c r="L29" i="286"/>
  <c r="K29" i="286"/>
  <c r="J29" i="286"/>
  <c r="I29" i="286"/>
  <c r="H29" i="286"/>
  <c r="G29" i="286"/>
  <c r="F29" i="286"/>
  <c r="E29" i="286"/>
  <c r="D29" i="286"/>
  <c r="C29" i="286"/>
  <c r="L24" i="286"/>
  <c r="L22" i="286"/>
  <c r="L14" i="286"/>
  <c r="K14" i="286"/>
  <c r="J14" i="286"/>
  <c r="I14" i="286"/>
  <c r="H14" i="286"/>
  <c r="G14" i="286"/>
  <c r="F14" i="286"/>
  <c r="E14" i="286"/>
  <c r="D14" i="286"/>
  <c r="C14" i="286"/>
  <c r="I25" i="285"/>
  <c r="H25" i="285"/>
  <c r="G25" i="285"/>
  <c r="F25" i="285"/>
  <c r="E25" i="285"/>
  <c r="D25" i="285"/>
  <c r="C25" i="285"/>
  <c r="H24" i="285"/>
  <c r="G24" i="285"/>
  <c r="I21" i="285"/>
  <c r="H21" i="285"/>
  <c r="G21" i="285"/>
  <c r="F21" i="285"/>
  <c r="E21" i="285"/>
  <c r="D21" i="285"/>
  <c r="C21" i="285"/>
  <c r="I18" i="285"/>
  <c r="H18" i="285"/>
  <c r="G18" i="285"/>
  <c r="F18" i="285"/>
  <c r="E18" i="285"/>
  <c r="D18" i="285"/>
  <c r="C18" i="285"/>
  <c r="I13" i="285"/>
  <c r="H13" i="285"/>
  <c r="G13" i="285"/>
  <c r="F13" i="285"/>
  <c r="E13" i="285"/>
  <c r="D13" i="285"/>
  <c r="C13" i="285"/>
  <c r="F11" i="285"/>
  <c r="I8" i="285"/>
  <c r="H8" i="285"/>
  <c r="G8" i="285"/>
  <c r="F8" i="285"/>
  <c r="E8" i="285"/>
  <c r="D8" i="285"/>
  <c r="C8" i="285"/>
  <c r="K42" i="284"/>
  <c r="J42" i="284"/>
  <c r="I42" i="284"/>
  <c r="H42" i="284"/>
  <c r="G42" i="284"/>
  <c r="F42" i="284"/>
  <c r="E42" i="284"/>
  <c r="D42" i="284"/>
  <c r="K40" i="283"/>
  <c r="J40" i="283"/>
  <c r="I40" i="283"/>
  <c r="H40" i="283"/>
  <c r="G40" i="283"/>
  <c r="F40" i="283"/>
  <c r="E40" i="283"/>
  <c r="D40" i="283"/>
  <c r="K34" i="282"/>
  <c r="J34" i="282"/>
  <c r="I34" i="282"/>
  <c r="H34" i="282"/>
  <c r="G34" i="282"/>
  <c r="F34" i="282"/>
  <c r="E34" i="282"/>
  <c r="D34" i="282"/>
  <c r="K33" i="282"/>
  <c r="J33" i="282"/>
  <c r="I33" i="282"/>
  <c r="H33" i="282"/>
  <c r="G33" i="282"/>
  <c r="F33" i="282"/>
  <c r="E33" i="282"/>
  <c r="D33" i="282"/>
  <c r="K32" i="282"/>
  <c r="J32" i="282"/>
  <c r="I32" i="282"/>
  <c r="H32" i="282"/>
  <c r="G32" i="282"/>
  <c r="F32" i="282"/>
  <c r="E32" i="282"/>
  <c r="D32" i="282"/>
  <c r="K29" i="282"/>
  <c r="J29" i="282"/>
  <c r="I29" i="282"/>
  <c r="H29" i="282"/>
  <c r="G29" i="282"/>
  <c r="F29" i="282"/>
  <c r="E29" i="282"/>
  <c r="D29" i="282"/>
  <c r="K21" i="282"/>
  <c r="J21" i="282"/>
  <c r="I21" i="282"/>
  <c r="H21" i="282"/>
  <c r="G21" i="282"/>
  <c r="F21" i="282"/>
  <c r="E21" i="282"/>
  <c r="D21" i="282"/>
  <c r="K20" i="282"/>
  <c r="J20" i="282"/>
  <c r="I20" i="282"/>
  <c r="H20" i="282"/>
  <c r="G20" i="282"/>
  <c r="F20" i="282"/>
  <c r="E20" i="282"/>
  <c r="D20" i="282"/>
  <c r="J17" i="282"/>
  <c r="K15" i="282"/>
  <c r="J15" i="282"/>
  <c r="I15" i="282"/>
  <c r="H15" i="282"/>
  <c r="G15" i="282"/>
  <c r="F15" i="282"/>
  <c r="E15" i="282"/>
  <c r="D15" i="282"/>
  <c r="K14" i="282"/>
  <c r="J14" i="282"/>
  <c r="I39" i="279"/>
  <c r="I38" i="279"/>
  <c r="I37" i="279"/>
  <c r="I36" i="279"/>
  <c r="I35" i="279"/>
  <c r="I34" i="279"/>
  <c r="I33" i="279"/>
  <c r="I32" i="279"/>
  <c r="I31" i="279"/>
  <c r="I30" i="279"/>
  <c r="I29" i="279"/>
  <c r="I28" i="279"/>
  <c r="I27" i="279"/>
  <c r="I26" i="279"/>
  <c r="I25" i="279"/>
  <c r="I24" i="279"/>
  <c r="I23" i="279"/>
  <c r="I22" i="279"/>
  <c r="I21" i="279"/>
  <c r="I20" i="279"/>
  <c r="I19" i="279"/>
  <c r="I18" i="279"/>
  <c r="I17" i="279"/>
  <c r="I16" i="279"/>
  <c r="I15" i="279"/>
  <c r="I14" i="279"/>
  <c r="I13" i="279"/>
  <c r="I12" i="279"/>
  <c r="I11" i="279"/>
  <c r="I10" i="279"/>
  <c r="I9" i="279"/>
  <c r="I8" i="279"/>
  <c r="I7" i="279"/>
  <c r="I6" i="279"/>
  <c r="I5" i="279"/>
  <c r="C58" i="277"/>
  <c r="C95" i="274"/>
  <c r="C93" i="274"/>
  <c r="C94" i="274" s="1"/>
  <c r="C91" i="274"/>
  <c r="D5" i="274"/>
  <c r="D8" i="274" s="1"/>
  <c r="C5" i="274"/>
  <c r="C8" i="274" s="1"/>
  <c r="D32" i="273"/>
  <c r="D31" i="273"/>
  <c r="D22" i="273"/>
  <c r="D21" i="273"/>
  <c r="D13" i="273"/>
  <c r="D12" i="273"/>
  <c r="D4" i="273"/>
  <c r="O25" i="247"/>
  <c r="O24" i="247"/>
  <c r="O23" i="247"/>
  <c r="O22" i="247"/>
  <c r="O17" i="247"/>
  <c r="O16" i="247"/>
  <c r="O15" i="247"/>
  <c r="O14" i="247"/>
  <c r="O13" i="247"/>
  <c r="D70" i="246"/>
  <c r="C70" i="246"/>
  <c r="D69" i="246"/>
  <c r="C69" i="246"/>
  <c r="D68" i="246"/>
  <c r="C68" i="246"/>
  <c r="D67" i="246"/>
  <c r="C67" i="246"/>
  <c r="D66" i="246"/>
  <c r="C66" i="246"/>
  <c r="E46" i="246"/>
  <c r="D46" i="246"/>
  <c r="C46" i="246"/>
  <c r="E45" i="246"/>
  <c r="D45" i="246"/>
  <c r="C45" i="246"/>
  <c r="E44" i="246"/>
  <c r="E43" i="246"/>
  <c r="E42" i="246"/>
  <c r="E41" i="246"/>
  <c r="E40" i="246"/>
  <c r="E39" i="246"/>
  <c r="E38" i="246"/>
  <c r="E37" i="246"/>
  <c r="D37" i="246"/>
  <c r="C37" i="246"/>
  <c r="E36" i="246"/>
  <c r="E35" i="246"/>
  <c r="E34" i="246"/>
  <c r="E33" i="246"/>
  <c r="E32" i="246"/>
  <c r="E31" i="246"/>
  <c r="E30" i="246"/>
  <c r="D30" i="246"/>
  <c r="C30" i="246"/>
  <c r="E29" i="246"/>
  <c r="E28" i="246"/>
  <c r="E27" i="246"/>
  <c r="E26" i="246"/>
  <c r="E25" i="246"/>
  <c r="E24" i="246"/>
  <c r="D24" i="246"/>
  <c r="C24" i="246"/>
  <c r="E23" i="246"/>
  <c r="E22" i="246"/>
  <c r="E21" i="246"/>
  <c r="E20" i="246"/>
  <c r="E19" i="246"/>
  <c r="E18" i="246"/>
  <c r="E17" i="246"/>
  <c r="E16" i="246"/>
  <c r="E15" i="246"/>
  <c r="D15" i="246"/>
  <c r="C15" i="246"/>
  <c r="E14" i="246"/>
  <c r="E13" i="246"/>
  <c r="E12" i="246"/>
  <c r="E11" i="246"/>
  <c r="E10" i="246"/>
  <c r="E9" i="246"/>
  <c r="E8" i="246"/>
  <c r="E7" i="246"/>
  <c r="E6" i="246"/>
  <c r="E5" i="246"/>
  <c r="K56" i="145"/>
  <c r="J56" i="145"/>
  <c r="K55" i="145"/>
  <c r="J55" i="145"/>
  <c r="K54" i="145"/>
  <c r="J54" i="145"/>
  <c r="K53" i="145"/>
  <c r="J53" i="145"/>
  <c r="K52" i="145"/>
  <c r="J52" i="145"/>
  <c r="K51" i="145"/>
  <c r="J51" i="145"/>
  <c r="L55" i="144"/>
  <c r="K55" i="144"/>
  <c r="J55" i="144"/>
  <c r="L54" i="144"/>
  <c r="K54" i="144"/>
  <c r="L53" i="144"/>
  <c r="K53" i="144"/>
  <c r="L52" i="144"/>
  <c r="K52" i="144"/>
  <c r="L51" i="144"/>
  <c r="K51" i="144"/>
  <c r="L50" i="144"/>
  <c r="K50" i="144"/>
  <c r="L49" i="144"/>
  <c r="K49" i="144"/>
  <c r="J14" i="143"/>
  <c r="I14" i="143"/>
  <c r="H14" i="143"/>
  <c r="J7" i="143"/>
  <c r="I7" i="143"/>
  <c r="H7" i="143"/>
  <c r="Y41" i="155"/>
  <c r="X41" i="155"/>
  <c r="F46" i="214"/>
  <c r="E46" i="214"/>
  <c r="D46" i="214"/>
  <c r="C46" i="214"/>
  <c r="F45" i="214"/>
  <c r="E45" i="214"/>
  <c r="D45" i="214"/>
  <c r="C45" i="214"/>
  <c r="F37" i="214"/>
  <c r="E37" i="214"/>
  <c r="D37" i="214"/>
  <c r="C37" i="214"/>
  <c r="F30" i="214"/>
  <c r="E30" i="214"/>
  <c r="D30" i="214"/>
  <c r="C30" i="214"/>
  <c r="F21" i="214"/>
  <c r="E21" i="214"/>
  <c r="D21" i="214"/>
  <c r="C21" i="214"/>
  <c r="F15" i="214"/>
  <c r="E15" i="214"/>
  <c r="D15" i="214"/>
  <c r="C15" i="214"/>
  <c r="F19" i="224"/>
  <c r="E19" i="224"/>
  <c r="D19" i="224"/>
  <c r="F18" i="224"/>
  <c r="F17" i="224"/>
  <c r="F16" i="224"/>
  <c r="F15" i="224"/>
  <c r="F14" i="224"/>
  <c r="F13" i="224"/>
  <c r="F12" i="224"/>
  <c r="F11" i="224"/>
  <c r="F10" i="224"/>
  <c r="F9" i="224"/>
  <c r="F8" i="224"/>
  <c r="F7" i="224"/>
  <c r="M13" i="211"/>
  <c r="M12" i="211"/>
  <c r="M11" i="211"/>
  <c r="M10" i="211"/>
  <c r="M9" i="211"/>
  <c r="M8" i="211"/>
  <c r="M7" i="211"/>
  <c r="M6" i="211"/>
  <c r="M5" i="211"/>
  <c r="AF45" i="210"/>
  <c r="AF44" i="210"/>
  <c r="AF43" i="210"/>
  <c r="AF42" i="210"/>
  <c r="AF41" i="210"/>
  <c r="AE41" i="210"/>
  <c r="AD41" i="210"/>
  <c r="AC41" i="210"/>
  <c r="AB41" i="210"/>
  <c r="AA41" i="210"/>
  <c r="Z41" i="210"/>
  <c r="Y41" i="210"/>
  <c r="X41" i="210"/>
  <c r="W41" i="210"/>
  <c r="V41" i="210"/>
  <c r="U41" i="210"/>
  <c r="W31" i="210"/>
  <c r="W30" i="210"/>
  <c r="W29" i="210"/>
  <c r="AA28" i="210"/>
  <c r="Z28" i="210"/>
  <c r="W28" i="210"/>
  <c r="AA27" i="210"/>
  <c r="Z27" i="210"/>
  <c r="W27" i="210"/>
  <c r="AA26" i="210"/>
  <c r="Z26" i="210"/>
  <c r="W26" i="210"/>
  <c r="AA25" i="210"/>
  <c r="Z25" i="210"/>
  <c r="W25" i="210"/>
  <c r="AA24" i="210"/>
  <c r="Z24" i="210"/>
  <c r="W24" i="210"/>
  <c r="AA23" i="210"/>
  <c r="Z23" i="210"/>
  <c r="W23" i="210"/>
  <c r="V23" i="210"/>
  <c r="U23" i="210"/>
  <c r="AA22" i="210"/>
  <c r="Z22" i="210"/>
  <c r="AA21" i="210"/>
  <c r="Z21" i="210"/>
  <c r="AA20" i="210"/>
  <c r="Z20" i="210"/>
  <c r="AA19" i="210"/>
  <c r="Z19" i="210"/>
  <c r="AA18" i="210"/>
  <c r="Z18" i="210"/>
  <c r="AA17" i="210"/>
  <c r="Z17" i="210"/>
  <c r="AA16" i="210"/>
  <c r="Z16" i="210"/>
  <c r="AA15" i="210"/>
  <c r="Z15" i="210"/>
  <c r="AA14" i="210"/>
  <c r="Z14" i="210"/>
  <c r="AA13" i="210"/>
  <c r="Z13" i="210"/>
  <c r="AA12" i="210"/>
  <c r="Z12" i="210"/>
  <c r="AA11" i="210"/>
  <c r="Z11" i="210"/>
  <c r="AA10" i="210"/>
  <c r="Z10" i="210"/>
  <c r="AA9" i="210"/>
  <c r="Z9" i="210"/>
  <c r="AA8" i="210"/>
  <c r="Z8" i="210"/>
  <c r="AA7" i="210"/>
  <c r="Z7" i="210"/>
  <c r="AA6" i="210"/>
  <c r="Z6" i="210"/>
  <c r="AN46" i="209"/>
  <c r="O46" i="209"/>
  <c r="L46" i="209"/>
  <c r="K46" i="209"/>
  <c r="G46" i="209"/>
  <c r="AN45" i="209"/>
  <c r="O45" i="209"/>
  <c r="L45" i="209"/>
  <c r="K45" i="209"/>
  <c r="G45" i="209"/>
  <c r="G44" i="209"/>
  <c r="G43" i="209"/>
  <c r="Z42" i="209"/>
  <c r="Y42" i="209"/>
  <c r="V42" i="209"/>
  <c r="U42" i="209"/>
  <c r="G42" i="209"/>
  <c r="Z41" i="209"/>
  <c r="Q41" i="209"/>
  <c r="G41" i="209"/>
  <c r="Z40" i="209"/>
  <c r="Q40" i="209"/>
  <c r="G40" i="209"/>
  <c r="Z39" i="209"/>
  <c r="G39" i="209"/>
  <c r="Z38" i="209"/>
  <c r="G38" i="209"/>
  <c r="AN37" i="209"/>
  <c r="Z37" i="209"/>
  <c r="O37" i="209"/>
  <c r="L37" i="209"/>
  <c r="K37" i="209"/>
  <c r="G37" i="209"/>
  <c r="Z36" i="209"/>
  <c r="G36" i="209"/>
  <c r="Z35" i="209"/>
  <c r="G35" i="209"/>
  <c r="G34" i="209"/>
  <c r="Z33" i="209"/>
  <c r="G33" i="209"/>
  <c r="Z32" i="209"/>
  <c r="G32" i="209"/>
  <c r="Z31" i="209"/>
  <c r="G31" i="209"/>
  <c r="AN30" i="209"/>
  <c r="Z30" i="209"/>
  <c r="O30" i="209"/>
  <c r="L30" i="209"/>
  <c r="K30" i="209"/>
  <c r="G30" i="209"/>
  <c r="Z29" i="209"/>
  <c r="G29" i="209"/>
  <c r="Z28" i="209"/>
  <c r="G28" i="209"/>
  <c r="Z27" i="209"/>
  <c r="G27" i="209"/>
  <c r="Z26" i="209"/>
  <c r="G26" i="209"/>
  <c r="Z25" i="209"/>
  <c r="G25" i="209"/>
  <c r="Z24" i="209"/>
  <c r="G24" i="209"/>
  <c r="Z23" i="209"/>
  <c r="G23" i="209"/>
  <c r="Z22" i="209"/>
  <c r="G22" i="209"/>
  <c r="AN21" i="209"/>
  <c r="Z21" i="209"/>
  <c r="O21" i="209"/>
  <c r="L21" i="209"/>
  <c r="K21" i="209"/>
  <c r="G21" i="209"/>
  <c r="Z20" i="209"/>
  <c r="G20" i="209"/>
  <c r="Z19" i="209"/>
  <c r="G19" i="209"/>
  <c r="Z18" i="209"/>
  <c r="G18" i="209"/>
  <c r="Z17" i="209"/>
  <c r="G17" i="209"/>
  <c r="Z16" i="209"/>
  <c r="G16" i="209"/>
  <c r="AN15" i="209"/>
  <c r="Z15" i="209"/>
  <c r="O15" i="209"/>
  <c r="L15" i="209"/>
  <c r="K15" i="209"/>
  <c r="G15" i="209"/>
  <c r="Z14" i="209"/>
  <c r="G14" i="209"/>
  <c r="Z13" i="209"/>
  <c r="G13" i="209"/>
  <c r="Z12" i="209"/>
  <c r="G12" i="209"/>
  <c r="Z11" i="209"/>
  <c r="G11" i="209"/>
  <c r="Z10" i="209"/>
  <c r="G10" i="209"/>
  <c r="Z9" i="209"/>
  <c r="G9" i="209"/>
  <c r="Z8" i="209"/>
  <c r="G8" i="209"/>
  <c r="Z7" i="209"/>
  <c r="G7" i="209"/>
  <c r="Z6" i="209"/>
  <c r="G6" i="209"/>
  <c r="Z5" i="209"/>
  <c r="G5" i="209"/>
  <c r="P51" i="223"/>
  <c r="O51" i="223"/>
  <c r="P50" i="223"/>
  <c r="O50" i="223"/>
  <c r="P49" i="223"/>
  <c r="O49" i="223"/>
  <c r="AC48" i="223"/>
  <c r="X47" i="223"/>
  <c r="AC46" i="223"/>
  <c r="AB46" i="223"/>
  <c r="AA46" i="223"/>
  <c r="Z46" i="223"/>
  <c r="Y46" i="223"/>
  <c r="X46" i="223"/>
  <c r="V46" i="223"/>
  <c r="N46" i="223"/>
  <c r="M46" i="223"/>
  <c r="L46" i="223"/>
  <c r="K46" i="223"/>
  <c r="H46" i="223"/>
  <c r="G46" i="223"/>
  <c r="F46" i="223"/>
  <c r="E46" i="223"/>
  <c r="D46" i="223"/>
  <c r="C46" i="223"/>
  <c r="AC45" i="223"/>
  <c r="AB45" i="223"/>
  <c r="AA45" i="223"/>
  <c r="Z45" i="223"/>
  <c r="Y45" i="223"/>
  <c r="X45" i="223"/>
  <c r="V45" i="223"/>
  <c r="N45" i="223"/>
  <c r="M45" i="223"/>
  <c r="L45" i="223"/>
  <c r="K45" i="223"/>
  <c r="H45" i="223"/>
  <c r="G45" i="223"/>
  <c r="F45" i="223"/>
  <c r="E45" i="223"/>
  <c r="D45" i="223"/>
  <c r="C45" i="223"/>
  <c r="P44" i="223"/>
  <c r="O44" i="223"/>
  <c r="P43" i="223"/>
  <c r="O43" i="223"/>
  <c r="P42" i="223"/>
  <c r="O42" i="223"/>
  <c r="P41" i="223"/>
  <c r="O41" i="223"/>
  <c r="P40" i="223"/>
  <c r="O40" i="223"/>
  <c r="P39" i="223"/>
  <c r="O39" i="223"/>
  <c r="P38" i="223"/>
  <c r="O38" i="223"/>
  <c r="AC37" i="223"/>
  <c r="AB37" i="223"/>
  <c r="AA37" i="223"/>
  <c r="Z37" i="223"/>
  <c r="Y37" i="223"/>
  <c r="X37" i="223"/>
  <c r="V37" i="223"/>
  <c r="N37" i="223"/>
  <c r="M37" i="223"/>
  <c r="L37" i="223"/>
  <c r="K37" i="223"/>
  <c r="H37" i="223"/>
  <c r="G37" i="223"/>
  <c r="F37" i="223"/>
  <c r="E37" i="223"/>
  <c r="D37" i="223"/>
  <c r="C37" i="223"/>
  <c r="P36" i="223"/>
  <c r="O36" i="223"/>
  <c r="P35" i="223"/>
  <c r="O35" i="223"/>
  <c r="P34" i="223"/>
  <c r="O34" i="223"/>
  <c r="P33" i="223"/>
  <c r="O33" i="223"/>
  <c r="P32" i="223"/>
  <c r="O32" i="223"/>
  <c r="P31" i="223"/>
  <c r="O31" i="223"/>
  <c r="AC30" i="223"/>
  <c r="AB30" i="223"/>
  <c r="AA30" i="223"/>
  <c r="Z30" i="223"/>
  <c r="Y30" i="223"/>
  <c r="X30" i="223"/>
  <c r="V30" i="223"/>
  <c r="N30" i="223"/>
  <c r="M30" i="223"/>
  <c r="L30" i="223"/>
  <c r="K30" i="223"/>
  <c r="H30" i="223"/>
  <c r="G30" i="223"/>
  <c r="F30" i="223"/>
  <c r="E30" i="223"/>
  <c r="D30" i="223"/>
  <c r="C30" i="223"/>
  <c r="P29" i="223"/>
  <c r="O29" i="223"/>
  <c r="P28" i="223"/>
  <c r="O28" i="223"/>
  <c r="P27" i="223"/>
  <c r="O27" i="223"/>
  <c r="P26" i="223"/>
  <c r="O26" i="223"/>
  <c r="P25" i="223"/>
  <c r="O25" i="223"/>
  <c r="P24" i="223"/>
  <c r="O24" i="223"/>
  <c r="P23" i="223"/>
  <c r="O23" i="223"/>
  <c r="P22" i="223"/>
  <c r="O22" i="223"/>
  <c r="AC21" i="223"/>
  <c r="AB21" i="223"/>
  <c r="AA21" i="223"/>
  <c r="Z21" i="223"/>
  <c r="Y21" i="223"/>
  <c r="X21" i="223"/>
  <c r="V21" i="223"/>
  <c r="N21" i="223"/>
  <c r="M21" i="223"/>
  <c r="L21" i="223"/>
  <c r="K21" i="223"/>
  <c r="H21" i="223"/>
  <c r="G21" i="223"/>
  <c r="F21" i="223"/>
  <c r="E21" i="223"/>
  <c r="D21" i="223"/>
  <c r="C21" i="223"/>
  <c r="P20" i="223"/>
  <c r="O20" i="223"/>
  <c r="P19" i="223"/>
  <c r="O19" i="223"/>
  <c r="P18" i="223"/>
  <c r="O18" i="223"/>
  <c r="P17" i="223"/>
  <c r="O17" i="223"/>
  <c r="P16" i="223"/>
  <c r="O16" i="223"/>
  <c r="AC15" i="223"/>
  <c r="AB15" i="223"/>
  <c r="AA15" i="223"/>
  <c r="Z15" i="223"/>
  <c r="Y15" i="223"/>
  <c r="X15" i="223"/>
  <c r="V15" i="223"/>
  <c r="N15" i="223"/>
  <c r="M15" i="223"/>
  <c r="L15" i="223"/>
  <c r="K15" i="223"/>
  <c r="H15" i="223"/>
  <c r="G15" i="223"/>
  <c r="F15" i="223"/>
  <c r="E15" i="223"/>
  <c r="D15" i="223"/>
  <c r="C15" i="223"/>
  <c r="P14" i="223"/>
  <c r="O14" i="223"/>
  <c r="O13" i="223"/>
  <c r="P12" i="223"/>
  <c r="O12" i="223"/>
  <c r="P11" i="223"/>
  <c r="O11" i="223"/>
  <c r="P10" i="223"/>
  <c r="O10" i="223"/>
  <c r="P9" i="223"/>
  <c r="O9" i="223"/>
  <c r="P8" i="223"/>
  <c r="O8" i="223"/>
  <c r="P7" i="223"/>
  <c r="O7" i="223"/>
  <c r="P6" i="223"/>
  <c r="O6" i="223"/>
  <c r="P5" i="223"/>
  <c r="O5" i="223"/>
  <c r="P48" i="207"/>
  <c r="O48" i="207"/>
  <c r="N48" i="207"/>
  <c r="M48" i="207"/>
  <c r="K48" i="207"/>
  <c r="J48" i="207"/>
  <c r="H48" i="207"/>
  <c r="G48" i="207"/>
  <c r="E48" i="207"/>
  <c r="D48" i="207"/>
  <c r="P47" i="207"/>
  <c r="O47" i="207"/>
  <c r="N47" i="207"/>
  <c r="M47" i="207"/>
  <c r="L47" i="207"/>
  <c r="K47" i="207"/>
  <c r="J47" i="207"/>
  <c r="I47" i="207"/>
  <c r="H47" i="207"/>
  <c r="G47" i="207"/>
  <c r="F47" i="207"/>
  <c r="E47" i="207"/>
  <c r="D47" i="207"/>
  <c r="C47" i="207"/>
  <c r="P46" i="207"/>
  <c r="O46" i="207"/>
  <c r="N46" i="207"/>
  <c r="M46" i="207"/>
  <c r="K46" i="207"/>
  <c r="J46" i="207"/>
  <c r="H46" i="207"/>
  <c r="E46" i="207"/>
  <c r="P45" i="207"/>
  <c r="O45" i="207"/>
  <c r="N45" i="207"/>
  <c r="M45" i="207"/>
  <c r="K45" i="207"/>
  <c r="J45" i="207"/>
  <c r="H45" i="207"/>
  <c r="E45" i="207"/>
  <c r="P44" i="207"/>
  <c r="O44" i="207"/>
  <c r="N44" i="207"/>
  <c r="M44" i="207"/>
  <c r="K44" i="207"/>
  <c r="J44" i="207"/>
  <c r="H44" i="207"/>
  <c r="E44" i="207"/>
  <c r="P43" i="207"/>
  <c r="O43" i="207"/>
  <c r="N43" i="207"/>
  <c r="M43" i="207"/>
  <c r="K43" i="207"/>
  <c r="J43" i="207"/>
  <c r="H43" i="207"/>
  <c r="E43" i="207"/>
  <c r="P42" i="207"/>
  <c r="O42" i="207"/>
  <c r="N42" i="207"/>
  <c r="M42" i="207"/>
  <c r="K42" i="207"/>
  <c r="J42" i="207"/>
  <c r="H42" i="207"/>
  <c r="E42" i="207"/>
  <c r="P41" i="207"/>
  <c r="O41" i="207"/>
  <c r="N41" i="207"/>
  <c r="M41" i="207"/>
  <c r="K41" i="207"/>
  <c r="J41" i="207"/>
  <c r="H41" i="207"/>
  <c r="E41" i="207"/>
  <c r="P40" i="207"/>
  <c r="O40" i="207"/>
  <c r="N40" i="207"/>
  <c r="M40" i="207"/>
  <c r="K40" i="207"/>
  <c r="J40" i="207"/>
  <c r="H40" i="207"/>
  <c r="E40" i="207"/>
  <c r="P39" i="207"/>
  <c r="O39" i="207"/>
  <c r="N39" i="207"/>
  <c r="M39" i="207"/>
  <c r="L39" i="207"/>
  <c r="K39" i="207"/>
  <c r="J39" i="207"/>
  <c r="I39" i="207"/>
  <c r="H39" i="207"/>
  <c r="G39" i="207"/>
  <c r="F39" i="207"/>
  <c r="E39" i="207"/>
  <c r="D39" i="207"/>
  <c r="C39" i="207"/>
  <c r="P38" i="207"/>
  <c r="O38" i="207"/>
  <c r="N38" i="207"/>
  <c r="M38" i="207"/>
  <c r="K38" i="207"/>
  <c r="J38" i="207"/>
  <c r="H38" i="207"/>
  <c r="E38" i="207"/>
  <c r="P37" i="207"/>
  <c r="O37" i="207"/>
  <c r="N37" i="207"/>
  <c r="M37" i="207"/>
  <c r="K37" i="207"/>
  <c r="J37" i="207"/>
  <c r="H37" i="207"/>
  <c r="E37" i="207"/>
  <c r="P36" i="207"/>
  <c r="O36" i="207"/>
  <c r="N36" i="207"/>
  <c r="M36" i="207"/>
  <c r="K36" i="207"/>
  <c r="J36" i="207"/>
  <c r="H36" i="207"/>
  <c r="E36" i="207"/>
  <c r="P35" i="207"/>
  <c r="O35" i="207"/>
  <c r="N35" i="207"/>
  <c r="M35" i="207"/>
  <c r="K35" i="207"/>
  <c r="J35" i="207"/>
  <c r="H35" i="207"/>
  <c r="E35" i="207"/>
  <c r="P34" i="207"/>
  <c r="O34" i="207"/>
  <c r="N34" i="207"/>
  <c r="M34" i="207"/>
  <c r="K34" i="207"/>
  <c r="J34" i="207"/>
  <c r="H34" i="207"/>
  <c r="E34" i="207"/>
  <c r="P33" i="207"/>
  <c r="O33" i="207"/>
  <c r="N33" i="207"/>
  <c r="M33" i="207"/>
  <c r="K33" i="207"/>
  <c r="J33" i="207"/>
  <c r="H33" i="207"/>
  <c r="E33" i="207"/>
  <c r="P32" i="207"/>
  <c r="O32" i="207"/>
  <c r="N32" i="207"/>
  <c r="M32" i="207"/>
  <c r="L32" i="207"/>
  <c r="K32" i="207"/>
  <c r="J32" i="207"/>
  <c r="I32" i="207"/>
  <c r="H32" i="207"/>
  <c r="G32" i="207"/>
  <c r="F32" i="207"/>
  <c r="E32" i="207"/>
  <c r="D32" i="207"/>
  <c r="C32" i="207"/>
  <c r="P31" i="207"/>
  <c r="O31" i="207"/>
  <c r="N31" i="207"/>
  <c r="M31" i="207"/>
  <c r="K31" i="207"/>
  <c r="J31" i="207"/>
  <c r="H31" i="207"/>
  <c r="E31" i="207"/>
  <c r="P30" i="207"/>
  <c r="O30" i="207"/>
  <c r="N30" i="207"/>
  <c r="M30" i="207"/>
  <c r="K30" i="207"/>
  <c r="J30" i="207"/>
  <c r="H30" i="207"/>
  <c r="E30" i="207"/>
  <c r="P29" i="207"/>
  <c r="O29" i="207"/>
  <c r="N29" i="207"/>
  <c r="M29" i="207"/>
  <c r="K29" i="207"/>
  <c r="J29" i="207"/>
  <c r="H29" i="207"/>
  <c r="E29" i="207"/>
  <c r="P28" i="207"/>
  <c r="O28" i="207"/>
  <c r="N28" i="207"/>
  <c r="M28" i="207"/>
  <c r="K28" i="207"/>
  <c r="J28" i="207"/>
  <c r="H28" i="207"/>
  <c r="E28" i="207"/>
  <c r="P27" i="207"/>
  <c r="O27" i="207"/>
  <c r="N27" i="207"/>
  <c r="M27" i="207"/>
  <c r="K27" i="207"/>
  <c r="J27" i="207"/>
  <c r="H27" i="207"/>
  <c r="E27" i="207"/>
  <c r="P26" i="207"/>
  <c r="O26" i="207"/>
  <c r="N26" i="207"/>
  <c r="M26" i="207"/>
  <c r="K26" i="207"/>
  <c r="J26" i="207"/>
  <c r="H26" i="207"/>
  <c r="E26" i="207"/>
  <c r="P25" i="207"/>
  <c r="O25" i="207"/>
  <c r="N25" i="207"/>
  <c r="M25" i="207"/>
  <c r="K25" i="207"/>
  <c r="J25" i="207"/>
  <c r="H25" i="207"/>
  <c r="E25" i="207"/>
  <c r="P24" i="207"/>
  <c r="O24" i="207"/>
  <c r="N24" i="207"/>
  <c r="M24" i="207"/>
  <c r="K24" i="207"/>
  <c r="J24" i="207"/>
  <c r="H24" i="207"/>
  <c r="E24" i="207"/>
  <c r="P23" i="207"/>
  <c r="O23" i="207"/>
  <c r="N23" i="207"/>
  <c r="M23" i="207"/>
  <c r="L23" i="207"/>
  <c r="K23" i="207"/>
  <c r="J23" i="207"/>
  <c r="I23" i="207"/>
  <c r="H23" i="207"/>
  <c r="G23" i="207"/>
  <c r="F23" i="207"/>
  <c r="E23" i="207"/>
  <c r="D23" i="207"/>
  <c r="C23" i="207"/>
  <c r="P22" i="207"/>
  <c r="O22" i="207"/>
  <c r="N22" i="207"/>
  <c r="M22" i="207"/>
  <c r="K22" i="207"/>
  <c r="J22" i="207"/>
  <c r="H22" i="207"/>
  <c r="E22" i="207"/>
  <c r="P21" i="207"/>
  <c r="O21" i="207"/>
  <c r="N21" i="207"/>
  <c r="M21" i="207"/>
  <c r="K21" i="207"/>
  <c r="J21" i="207"/>
  <c r="H21" i="207"/>
  <c r="E21" i="207"/>
  <c r="P20" i="207"/>
  <c r="O20" i="207"/>
  <c r="N20" i="207"/>
  <c r="M20" i="207"/>
  <c r="K20" i="207"/>
  <c r="J20" i="207"/>
  <c r="H20" i="207"/>
  <c r="E20" i="207"/>
  <c r="P19" i="207"/>
  <c r="O19" i="207"/>
  <c r="N19" i="207"/>
  <c r="M19" i="207"/>
  <c r="K19" i="207"/>
  <c r="J19" i="207"/>
  <c r="H19" i="207"/>
  <c r="E19" i="207"/>
  <c r="P18" i="207"/>
  <c r="O18" i="207"/>
  <c r="N18" i="207"/>
  <c r="M18" i="207"/>
  <c r="K18" i="207"/>
  <c r="J18" i="207"/>
  <c r="H18" i="207"/>
  <c r="E18" i="207"/>
  <c r="P17" i="207"/>
  <c r="O17" i="207"/>
  <c r="N17" i="207"/>
  <c r="M17" i="207"/>
  <c r="L17" i="207"/>
  <c r="K17" i="207"/>
  <c r="J17" i="207"/>
  <c r="I17" i="207"/>
  <c r="H17" i="207"/>
  <c r="G17" i="207"/>
  <c r="F17" i="207"/>
  <c r="E17" i="207"/>
  <c r="D17" i="207"/>
  <c r="C17" i="207"/>
  <c r="P16" i="207"/>
  <c r="O16" i="207"/>
  <c r="N16" i="207"/>
  <c r="M16" i="207"/>
  <c r="K16" i="207"/>
  <c r="J16" i="207"/>
  <c r="H16" i="207"/>
  <c r="E16" i="207"/>
  <c r="P15" i="207"/>
  <c r="O15" i="207"/>
  <c r="N15" i="207"/>
  <c r="M15" i="207"/>
  <c r="K15" i="207"/>
  <c r="J15" i="207"/>
  <c r="H15" i="207"/>
  <c r="E15" i="207"/>
  <c r="P14" i="207"/>
  <c r="O14" i="207"/>
  <c r="N14" i="207"/>
  <c r="M14" i="207"/>
  <c r="K14" i="207"/>
  <c r="J14" i="207"/>
  <c r="H14" i="207"/>
  <c r="E14" i="207"/>
  <c r="P13" i="207"/>
  <c r="O13" i="207"/>
  <c r="N13" i="207"/>
  <c r="M13" i="207"/>
  <c r="K13" i="207"/>
  <c r="J13" i="207"/>
  <c r="H13" i="207"/>
  <c r="E13" i="207"/>
  <c r="P12" i="207"/>
  <c r="O12" i="207"/>
  <c r="N12" i="207"/>
  <c r="M12" i="207"/>
  <c r="K12" i="207"/>
  <c r="J12" i="207"/>
  <c r="H12" i="207"/>
  <c r="E12" i="207"/>
  <c r="P11" i="207"/>
  <c r="O11" i="207"/>
  <c r="N11" i="207"/>
  <c r="M11" i="207"/>
  <c r="K11" i="207"/>
  <c r="J11" i="207"/>
  <c r="H11" i="207"/>
  <c r="E11" i="207"/>
  <c r="P10" i="207"/>
  <c r="O10" i="207"/>
  <c r="N10" i="207"/>
  <c r="M10" i="207"/>
  <c r="K10" i="207"/>
  <c r="J10" i="207"/>
  <c r="H10" i="207"/>
  <c r="E10" i="207"/>
  <c r="P9" i="207"/>
  <c r="O9" i="207"/>
  <c r="N9" i="207"/>
  <c r="M9" i="207"/>
  <c r="K9" i="207"/>
  <c r="J9" i="207"/>
  <c r="H9" i="207"/>
  <c r="E9" i="207"/>
  <c r="P8" i="207"/>
  <c r="O8" i="207"/>
  <c r="N8" i="207"/>
  <c r="M8" i="207"/>
  <c r="K8" i="207"/>
  <c r="J8" i="207"/>
  <c r="H8" i="207"/>
  <c r="E8" i="207"/>
  <c r="P7" i="207"/>
  <c r="O7" i="207"/>
  <c r="N7" i="207"/>
  <c r="M7" i="207"/>
  <c r="K7" i="207"/>
  <c r="J7" i="207"/>
  <c r="H7" i="207"/>
  <c r="E7" i="207"/>
  <c r="M6" i="207"/>
  <c r="J6" i="207"/>
  <c r="I52" i="206"/>
  <c r="F52" i="206"/>
  <c r="E52" i="206"/>
  <c r="D52" i="206"/>
  <c r="C52" i="206"/>
  <c r="B52" i="206"/>
  <c r="H50" i="206"/>
  <c r="G50" i="206"/>
  <c r="F50" i="206"/>
  <c r="E50" i="206"/>
  <c r="D50" i="206"/>
  <c r="C50" i="206"/>
  <c r="B50" i="206"/>
  <c r="I49" i="206"/>
  <c r="I50" i="206" s="1"/>
  <c r="I48" i="206"/>
  <c r="I47" i="206"/>
  <c r="I46" i="206"/>
  <c r="I45" i="206"/>
  <c r="I44" i="206"/>
  <c r="I43" i="206"/>
  <c r="H41" i="206"/>
  <c r="G41" i="206"/>
  <c r="F41" i="206"/>
  <c r="E41" i="206"/>
  <c r="D41" i="206"/>
  <c r="C41" i="206"/>
  <c r="B41" i="206"/>
  <c r="I40" i="206"/>
  <c r="I39" i="206"/>
  <c r="I38" i="206"/>
  <c r="I37" i="206"/>
  <c r="I36" i="206"/>
  <c r="I35" i="206"/>
  <c r="I41" i="206" s="1"/>
  <c r="I33" i="206"/>
  <c r="H33" i="206"/>
  <c r="G33" i="206"/>
  <c r="F33" i="206"/>
  <c r="E33" i="206"/>
  <c r="D33" i="206"/>
  <c r="C33" i="206"/>
  <c r="B33" i="206"/>
  <c r="I32" i="206"/>
  <c r="I31" i="206"/>
  <c r="I30" i="206"/>
  <c r="I29" i="206"/>
  <c r="I28" i="206"/>
  <c r="H26" i="206"/>
  <c r="G26" i="206"/>
  <c r="F26" i="206"/>
  <c r="E26" i="206"/>
  <c r="D26" i="206"/>
  <c r="C26" i="206"/>
  <c r="B26" i="206"/>
  <c r="I25" i="206"/>
  <c r="I24" i="206"/>
  <c r="I23" i="206"/>
  <c r="I22" i="206"/>
  <c r="I21" i="206"/>
  <c r="I20" i="206"/>
  <c r="I19" i="206"/>
  <c r="I18" i="206"/>
  <c r="H16" i="206"/>
  <c r="G16" i="206"/>
  <c r="F16" i="206"/>
  <c r="E16" i="206"/>
  <c r="D16" i="206"/>
  <c r="C16" i="206"/>
  <c r="B16" i="206"/>
  <c r="I15" i="206"/>
  <c r="I14" i="206"/>
  <c r="I13" i="206"/>
  <c r="I12" i="206"/>
  <c r="I11" i="206"/>
  <c r="I10" i="206"/>
  <c r="I9" i="206"/>
  <c r="I8" i="206"/>
  <c r="I7" i="206"/>
  <c r="I6" i="206"/>
  <c r="I53" i="205"/>
  <c r="G53" i="205"/>
  <c r="F53" i="205"/>
  <c r="E53" i="205"/>
  <c r="D53" i="205"/>
  <c r="C53" i="205"/>
  <c r="H51" i="205"/>
  <c r="G51" i="205"/>
  <c r="F51" i="205"/>
  <c r="E51" i="205"/>
  <c r="D51" i="205"/>
  <c r="C51" i="205"/>
  <c r="B51" i="205"/>
  <c r="I50" i="205"/>
  <c r="I49" i="205"/>
  <c r="I48" i="205"/>
  <c r="I47" i="205"/>
  <c r="I46" i="205"/>
  <c r="I45" i="205"/>
  <c r="I44" i="205"/>
  <c r="H42" i="205"/>
  <c r="G42" i="205"/>
  <c r="F42" i="205"/>
  <c r="E42" i="205"/>
  <c r="D42" i="205"/>
  <c r="C42" i="205"/>
  <c r="B42" i="205"/>
  <c r="I41" i="205"/>
  <c r="I40" i="205"/>
  <c r="I39" i="205"/>
  <c r="I38" i="205"/>
  <c r="I42" i="205" s="1"/>
  <c r="I37" i="205"/>
  <c r="I36" i="205"/>
  <c r="H34" i="205"/>
  <c r="G34" i="205"/>
  <c r="F34" i="205"/>
  <c r="E34" i="205"/>
  <c r="D34" i="205"/>
  <c r="C34" i="205"/>
  <c r="B34" i="205"/>
  <c r="I33" i="205"/>
  <c r="I32" i="205"/>
  <c r="I31" i="205"/>
  <c r="I30" i="205"/>
  <c r="I29" i="205"/>
  <c r="H27" i="205"/>
  <c r="G27" i="205"/>
  <c r="F27" i="205"/>
  <c r="E27" i="205"/>
  <c r="D27" i="205"/>
  <c r="C27" i="205"/>
  <c r="B27" i="205"/>
  <c r="I26" i="205"/>
  <c r="I25" i="205"/>
  <c r="I24" i="205"/>
  <c r="I23" i="205"/>
  <c r="I22" i="205"/>
  <c r="I21" i="205"/>
  <c r="I20" i="205"/>
  <c r="I19" i="205"/>
  <c r="H17" i="205"/>
  <c r="G17" i="205"/>
  <c r="F17" i="205"/>
  <c r="E17" i="205"/>
  <c r="D17" i="205"/>
  <c r="C17" i="205"/>
  <c r="B17" i="205"/>
  <c r="I16" i="205"/>
  <c r="I15" i="205"/>
  <c r="I14" i="205"/>
  <c r="I13" i="205"/>
  <c r="I12" i="205"/>
  <c r="I11" i="205"/>
  <c r="I10" i="205"/>
  <c r="I9" i="205"/>
  <c r="I8" i="205"/>
  <c r="I7" i="205"/>
  <c r="I51" i="204"/>
  <c r="H49" i="204"/>
  <c r="G49" i="204"/>
  <c r="F49" i="204"/>
  <c r="E49" i="204"/>
  <c r="D49" i="204"/>
  <c r="C49" i="204"/>
  <c r="B49" i="204"/>
  <c r="I48" i="204"/>
  <c r="I47" i="204"/>
  <c r="I46" i="204"/>
  <c r="I45" i="204"/>
  <c r="I49" i="204" s="1"/>
  <c r="I44" i="204"/>
  <c r="I43" i="204"/>
  <c r="I42" i="204"/>
  <c r="H40" i="204"/>
  <c r="G40" i="204"/>
  <c r="F40" i="204"/>
  <c r="E40" i="204"/>
  <c r="D40" i="204"/>
  <c r="C40" i="204"/>
  <c r="B40" i="204"/>
  <c r="I39" i="204"/>
  <c r="I38" i="204"/>
  <c r="I37" i="204"/>
  <c r="I36" i="204"/>
  <c r="I35" i="204"/>
  <c r="I34" i="204"/>
  <c r="H32" i="204"/>
  <c r="G32" i="204"/>
  <c r="F32" i="204"/>
  <c r="E32" i="204"/>
  <c r="D32" i="204"/>
  <c r="C32" i="204"/>
  <c r="B32" i="204"/>
  <c r="I31" i="204"/>
  <c r="I30" i="204"/>
  <c r="I29" i="204"/>
  <c r="I28" i="204"/>
  <c r="I27" i="204"/>
  <c r="H25" i="204"/>
  <c r="G25" i="204"/>
  <c r="F25" i="204"/>
  <c r="E25" i="204"/>
  <c r="D25" i="204"/>
  <c r="C25" i="204"/>
  <c r="B25" i="204"/>
  <c r="I24" i="204"/>
  <c r="I23" i="204"/>
  <c r="I22" i="204"/>
  <c r="I21" i="204"/>
  <c r="I20" i="204"/>
  <c r="I19" i="204"/>
  <c r="I18" i="204"/>
  <c r="I17" i="204"/>
  <c r="H15" i="204"/>
  <c r="G15" i="204"/>
  <c r="F15" i="204"/>
  <c r="E15" i="204"/>
  <c r="D15" i="204"/>
  <c r="C15" i="204"/>
  <c r="I14" i="204"/>
  <c r="I13" i="204"/>
  <c r="I12" i="204"/>
  <c r="I11" i="204"/>
  <c r="I10" i="204"/>
  <c r="I9" i="204"/>
  <c r="C9" i="204"/>
  <c r="I8" i="204"/>
  <c r="I7" i="204"/>
  <c r="I6" i="204"/>
  <c r="I5" i="204"/>
  <c r="S45" i="203"/>
  <c r="S44" i="203"/>
  <c r="T44" i="203" s="1"/>
  <c r="S43" i="203"/>
  <c r="T43" i="203" s="1"/>
  <c r="S42" i="203"/>
  <c r="T42" i="203" s="1"/>
  <c r="S41" i="203"/>
  <c r="T41" i="203" s="1"/>
  <c r="S40" i="203"/>
  <c r="T40" i="203" s="1"/>
  <c r="T39" i="203"/>
  <c r="S39" i="203"/>
  <c r="S38" i="203"/>
  <c r="T38" i="203" s="1"/>
  <c r="S37" i="203"/>
  <c r="T37" i="203" s="1"/>
  <c r="S36" i="203"/>
  <c r="T36" i="203" s="1"/>
  <c r="S35" i="203"/>
  <c r="T35" i="203" s="1"/>
  <c r="S34" i="203"/>
  <c r="T34" i="203" s="1"/>
  <c r="S33" i="203"/>
  <c r="T33" i="203" s="1"/>
  <c r="S32" i="203"/>
  <c r="T32" i="203" s="1"/>
  <c r="S31" i="203"/>
  <c r="T31" i="203" s="1"/>
  <c r="S30" i="203"/>
  <c r="T30" i="203" s="1"/>
  <c r="S29" i="203"/>
  <c r="T29" i="203" s="1"/>
  <c r="S28" i="203"/>
  <c r="T28" i="203" s="1"/>
  <c r="S27" i="203"/>
  <c r="T27" i="203" s="1"/>
  <c r="S26" i="203"/>
  <c r="T26" i="203" s="1"/>
  <c r="S25" i="203"/>
  <c r="T25" i="203" s="1"/>
  <c r="S24" i="203"/>
  <c r="T24" i="203" s="1"/>
  <c r="S23" i="203"/>
  <c r="T23" i="203" s="1"/>
  <c r="S22" i="203"/>
  <c r="T22" i="203" s="1"/>
  <c r="S21" i="203"/>
  <c r="T21" i="203" s="1"/>
  <c r="S20" i="203"/>
  <c r="T20" i="203" s="1"/>
  <c r="S19" i="203"/>
  <c r="T19" i="203" s="1"/>
  <c r="S18" i="203"/>
  <c r="T18" i="203" s="1"/>
  <c r="S17" i="203"/>
  <c r="T17" i="203" s="1"/>
  <c r="S16" i="203"/>
  <c r="T16" i="203" s="1"/>
  <c r="S14" i="203"/>
  <c r="T14" i="203" s="1"/>
  <c r="S13" i="203"/>
  <c r="T13" i="203" s="1"/>
  <c r="S12" i="203"/>
  <c r="T12" i="203" s="1"/>
  <c r="S11" i="203"/>
  <c r="T11" i="203" s="1"/>
  <c r="S10" i="203"/>
  <c r="T10" i="203" s="1"/>
  <c r="S9" i="203"/>
  <c r="T9" i="203" s="1"/>
  <c r="S8" i="203"/>
  <c r="T8" i="203" s="1"/>
  <c r="S7" i="203"/>
  <c r="T7" i="203" s="1"/>
  <c r="S15" i="203"/>
  <c r="T15" i="203" s="1"/>
  <c r="S5" i="203"/>
  <c r="T5" i="203" s="1"/>
  <c r="AJ19" i="294"/>
  <c r="AI19" i="294"/>
  <c r="AH19" i="294"/>
  <c r="AG19" i="294"/>
  <c r="AF19" i="294"/>
  <c r="AE19" i="294"/>
  <c r="AD19" i="294"/>
  <c r="AC19" i="294"/>
  <c r="AB19" i="294"/>
  <c r="AA19" i="294"/>
  <c r="Z19" i="294"/>
  <c r="Y19" i="294"/>
  <c r="J19" i="294"/>
  <c r="AJ18" i="294"/>
  <c r="AI18" i="294"/>
  <c r="AH18" i="294"/>
  <c r="AG18" i="294"/>
  <c r="AF18" i="294"/>
  <c r="AE18" i="294"/>
  <c r="AD18" i="294"/>
  <c r="AC18" i="294"/>
  <c r="AB18" i="294"/>
  <c r="AA18" i="294"/>
  <c r="Z18" i="294"/>
  <c r="AT17" i="294"/>
  <c r="AJ17" i="294"/>
  <c r="AI17" i="294"/>
  <c r="AH17" i="294"/>
  <c r="AG17" i="294"/>
  <c r="AF17" i="294"/>
  <c r="AE17" i="294"/>
  <c r="AD17" i="294"/>
  <c r="AC17" i="294"/>
  <c r="AB17" i="294"/>
  <c r="AA17" i="294"/>
  <c r="Z17" i="294"/>
  <c r="AT16" i="294"/>
  <c r="AT15" i="294"/>
  <c r="AT14" i="294"/>
  <c r="AJ14" i="294"/>
  <c r="AI14" i="294"/>
  <c r="AH14" i="294"/>
  <c r="AG14" i="294"/>
  <c r="AF14" i="294"/>
  <c r="AE14" i="294"/>
  <c r="AD14" i="294"/>
  <c r="AC14" i="294"/>
  <c r="AB14" i="294"/>
  <c r="AA14" i="294"/>
  <c r="Z14" i="294"/>
  <c r="AT13" i="294"/>
  <c r="AJ13" i="294"/>
  <c r="AI13" i="294"/>
  <c r="AH13" i="294"/>
  <c r="AG13" i="294"/>
  <c r="AF13" i="294"/>
  <c r="AE13" i="294"/>
  <c r="AD13" i="294"/>
  <c r="AC13" i="294"/>
  <c r="AB13" i="294"/>
  <c r="AA13" i="294"/>
  <c r="Z13" i="294"/>
  <c r="AT12" i="294"/>
  <c r="AJ12" i="294"/>
  <c r="AI12" i="294"/>
  <c r="AH12" i="294"/>
  <c r="AG12" i="294"/>
  <c r="AF12" i="294"/>
  <c r="AE12" i="294"/>
  <c r="AD12" i="294"/>
  <c r="AC12" i="294"/>
  <c r="AB12" i="294"/>
  <c r="AA12" i="294"/>
  <c r="Z12" i="294"/>
  <c r="AT11" i="294"/>
  <c r="AJ11" i="294"/>
  <c r="AI11" i="294"/>
  <c r="AH11" i="294"/>
  <c r="AG11" i="294"/>
  <c r="AF11" i="294"/>
  <c r="AE11" i="294"/>
  <c r="AD11" i="294"/>
  <c r="AC11" i="294"/>
  <c r="AB11" i="294"/>
  <c r="AA11" i="294"/>
  <c r="Z11" i="294"/>
  <c r="AT10" i="294"/>
  <c r="AJ10" i="294"/>
  <c r="AI10" i="294"/>
  <c r="AH10" i="294"/>
  <c r="AG10" i="294"/>
  <c r="AF10" i="294"/>
  <c r="AE10" i="294"/>
  <c r="AD10" i="294"/>
  <c r="AC10" i="294"/>
  <c r="AB10" i="294"/>
  <c r="AA10" i="294"/>
  <c r="Z10" i="294"/>
  <c r="AT9" i="294"/>
  <c r="AJ9" i="294"/>
  <c r="AI9" i="294"/>
  <c r="AH9" i="294"/>
  <c r="AG9" i="294"/>
  <c r="AF9" i="294"/>
  <c r="AE9" i="294"/>
  <c r="AD9" i="294"/>
  <c r="AC9" i="294"/>
  <c r="AB9" i="294"/>
  <c r="AA9" i="294"/>
  <c r="Z9" i="294"/>
  <c r="AT8" i="294"/>
  <c r="AJ8" i="294"/>
  <c r="AI8" i="294"/>
  <c r="AH8" i="294"/>
  <c r="AG8" i="294"/>
  <c r="AF8" i="294"/>
  <c r="AE8" i="294"/>
  <c r="AD8" i="294"/>
  <c r="AC8" i="294"/>
  <c r="AB8" i="294"/>
  <c r="AA8" i="294"/>
  <c r="Z8" i="294"/>
  <c r="AT7" i="294"/>
  <c r="AJ7" i="294"/>
  <c r="AI7" i="294"/>
  <c r="AH7" i="294"/>
  <c r="AG7" i="294"/>
  <c r="AF7" i="294"/>
  <c r="AE7" i="294"/>
  <c r="AD7" i="294"/>
  <c r="AC7" i="294"/>
  <c r="AB7" i="294"/>
  <c r="AA7" i="294"/>
  <c r="Z7" i="294"/>
  <c r="AT6" i="294"/>
  <c r="AJ6" i="294"/>
  <c r="AI6" i="294"/>
  <c r="AH6" i="294"/>
  <c r="AG6" i="294"/>
  <c r="AF6" i="294"/>
  <c r="AE6" i="294"/>
  <c r="AD6" i="294"/>
  <c r="AC6" i="294"/>
  <c r="AB6" i="294"/>
  <c r="AA6" i="294"/>
  <c r="Z6" i="294"/>
  <c r="AO1" i="294"/>
  <c r="AN1" i="294"/>
  <c r="AL1" i="294"/>
  <c r="AJ1" i="294"/>
  <c r="AI1" i="294"/>
  <c r="AD1" i="294"/>
  <c r="AA1" i="294"/>
  <c r="Z1" i="294"/>
  <c r="D18" i="200"/>
  <c r="Y41" i="217"/>
  <c r="Y40" i="217"/>
  <c r="Y39" i="217"/>
  <c r="Y38" i="217"/>
  <c r="Y37" i="217"/>
  <c r="Y36" i="217"/>
  <c r="Y35" i="217"/>
  <c r="Y34" i="217"/>
  <c r="Y33" i="217"/>
  <c r="Y32" i="217"/>
  <c r="Y31" i="217"/>
  <c r="Y30" i="217"/>
  <c r="Y29" i="217"/>
  <c r="AL42" i="291"/>
  <c r="AK42" i="291"/>
  <c r="AJ42" i="291"/>
  <c r="AI42" i="291"/>
  <c r="AH42" i="291"/>
  <c r="AG42" i="291"/>
  <c r="AF42" i="291"/>
  <c r="AE42" i="291"/>
  <c r="AD42" i="291"/>
  <c r="AC42" i="291"/>
  <c r="AB42" i="291"/>
  <c r="AA42" i="291"/>
  <c r="U42" i="291"/>
  <c r="Q42" i="291"/>
  <c r="O42" i="291"/>
  <c r="E42" i="291"/>
  <c r="AL41" i="291"/>
  <c r="AK41" i="291"/>
  <c r="AJ41" i="291"/>
  <c r="AI41" i="291"/>
  <c r="AH41" i="291"/>
  <c r="AG41" i="291"/>
  <c r="AF41" i="291"/>
  <c r="AE41" i="291"/>
  <c r="AD41" i="291"/>
  <c r="AC41" i="291"/>
  <c r="AB41" i="291"/>
  <c r="U41" i="291"/>
  <c r="Q41" i="291"/>
  <c r="BB40" i="291"/>
  <c r="AL40" i="291"/>
  <c r="AK40" i="291"/>
  <c r="AJ40" i="291"/>
  <c r="AI40" i="291"/>
  <c r="AH40" i="291"/>
  <c r="AG40" i="291"/>
  <c r="AF40" i="291"/>
  <c r="AE40" i="291"/>
  <c r="AD40" i="291"/>
  <c r="AC40" i="291"/>
  <c r="AB40" i="291"/>
  <c r="U40" i="291"/>
  <c r="Q40" i="291"/>
  <c r="BB39" i="291"/>
  <c r="U39" i="291"/>
  <c r="Q39" i="291"/>
  <c r="BB38" i="291"/>
  <c r="U38" i="291"/>
  <c r="Q38" i="291"/>
  <c r="BB37" i="291"/>
  <c r="AL37" i="291"/>
  <c r="AK37" i="291"/>
  <c r="AJ37" i="291"/>
  <c r="AI37" i="291"/>
  <c r="AH37" i="291"/>
  <c r="AG37" i="291"/>
  <c r="AF37" i="291"/>
  <c r="AE37" i="291"/>
  <c r="AD37" i="291"/>
  <c r="AC37" i="291"/>
  <c r="AB37" i="291"/>
  <c r="U37" i="291"/>
  <c r="Q37" i="291"/>
  <c r="BB36" i="291"/>
  <c r="AL36" i="291"/>
  <c r="AK36" i="291"/>
  <c r="AJ36" i="291"/>
  <c r="AI36" i="291"/>
  <c r="AH36" i="291"/>
  <c r="AG36" i="291"/>
  <c r="AF36" i="291"/>
  <c r="AE36" i="291"/>
  <c r="AD36" i="291"/>
  <c r="AC36" i="291"/>
  <c r="AB36" i="291"/>
  <c r="U36" i="291"/>
  <c r="Q36" i="291"/>
  <c r="BB35" i="291"/>
  <c r="AL35" i="291"/>
  <c r="AK35" i="291"/>
  <c r="AJ35" i="291"/>
  <c r="AI35" i="291"/>
  <c r="AH35" i="291"/>
  <c r="AG35" i="291"/>
  <c r="AF35" i="291"/>
  <c r="AE35" i="291"/>
  <c r="AD35" i="291"/>
  <c r="AC35" i="291"/>
  <c r="AB35" i="291"/>
  <c r="U35" i="291"/>
  <c r="Q35" i="291"/>
  <c r="BB34" i="291"/>
  <c r="AL34" i="291"/>
  <c r="AK34" i="291"/>
  <c r="AJ34" i="291"/>
  <c r="AI34" i="291"/>
  <c r="AH34" i="291"/>
  <c r="AG34" i="291"/>
  <c r="AF34" i="291"/>
  <c r="AE34" i="291"/>
  <c r="AD34" i="291"/>
  <c r="AC34" i="291"/>
  <c r="AB34" i="291"/>
  <c r="U34" i="291"/>
  <c r="Q34" i="291"/>
  <c r="BB33" i="291"/>
  <c r="AL33" i="291"/>
  <c r="AK33" i="291"/>
  <c r="AJ33" i="291"/>
  <c r="AI33" i="291"/>
  <c r="AH33" i="291"/>
  <c r="AG33" i="291"/>
  <c r="AF33" i="291"/>
  <c r="AE33" i="291"/>
  <c r="AD33" i="291"/>
  <c r="AC33" i="291"/>
  <c r="AB33" i="291"/>
  <c r="U33" i="291"/>
  <c r="Q33" i="291"/>
  <c r="BB32" i="291"/>
  <c r="AL32" i="291"/>
  <c r="AK32" i="291"/>
  <c r="AJ32" i="291"/>
  <c r="AI32" i="291"/>
  <c r="AH32" i="291"/>
  <c r="AG32" i="291"/>
  <c r="AF32" i="291"/>
  <c r="AE32" i="291"/>
  <c r="AD32" i="291"/>
  <c r="AC32" i="291"/>
  <c r="AB32" i="291"/>
  <c r="U32" i="291"/>
  <c r="Q32" i="291"/>
  <c r="BB31" i="291"/>
  <c r="AL31" i="291"/>
  <c r="AK31" i="291"/>
  <c r="AJ31" i="291"/>
  <c r="AI31" i="291"/>
  <c r="AH31" i="291"/>
  <c r="AG31" i="291"/>
  <c r="AF31" i="291"/>
  <c r="AE31" i="291"/>
  <c r="AD31" i="291"/>
  <c r="AC31" i="291"/>
  <c r="AB31" i="291"/>
  <c r="U31" i="291"/>
  <c r="Q31" i="291"/>
  <c r="BB30" i="291"/>
  <c r="AL30" i="291"/>
  <c r="AK30" i="291"/>
  <c r="AJ30" i="291"/>
  <c r="AI30" i="291"/>
  <c r="AH30" i="291"/>
  <c r="AG30" i="291"/>
  <c r="AF30" i="291"/>
  <c r="AE30" i="291"/>
  <c r="AD30" i="291"/>
  <c r="AC30" i="291"/>
  <c r="AB30" i="291"/>
  <c r="U30" i="291"/>
  <c r="Q30" i="291"/>
  <c r="BB29" i="291"/>
  <c r="AL29" i="291"/>
  <c r="AK29" i="291"/>
  <c r="AJ29" i="291"/>
  <c r="AI29" i="291"/>
  <c r="AH29" i="291"/>
  <c r="AG29" i="291"/>
  <c r="AF29" i="291"/>
  <c r="AE29" i="291"/>
  <c r="AD29" i="291"/>
  <c r="AC29" i="291"/>
  <c r="AB29" i="291"/>
  <c r="AR18" i="291"/>
  <c r="AQ18" i="291"/>
  <c r="AP18" i="291"/>
  <c r="AO18" i="291"/>
  <c r="AN18" i="291"/>
  <c r="AL18" i="291"/>
  <c r="AK18" i="291"/>
  <c r="AF18" i="291"/>
  <c r="AC18" i="291"/>
  <c r="AB18" i="291"/>
  <c r="AV17" i="291"/>
  <c r="AT17" i="291"/>
  <c r="AR17" i="291"/>
  <c r="AQ17" i="291"/>
  <c r="AP17" i="291"/>
  <c r="AO17" i="291"/>
  <c r="AN17" i="291"/>
  <c r="AM17" i="291"/>
  <c r="AL17" i="291"/>
  <c r="AK17" i="291"/>
  <c r="AJ17" i="291"/>
  <c r="AI17" i="291"/>
  <c r="AH17" i="291"/>
  <c r="AG17" i="291"/>
  <c r="AF17" i="291"/>
  <c r="AE17" i="291"/>
  <c r="AD17" i="291"/>
  <c r="AC17" i="291"/>
  <c r="AB17" i="291"/>
  <c r="AA17" i="291"/>
  <c r="AV16" i="291"/>
  <c r="AT16" i="291"/>
  <c r="AS16" i="291"/>
  <c r="AV15" i="291"/>
  <c r="AT15" i="291"/>
  <c r="AS15" i="291"/>
  <c r="AV14" i="291"/>
  <c r="AT14" i="291"/>
  <c r="AS14" i="291"/>
  <c r="AV13" i="291"/>
  <c r="AT13" i="291"/>
  <c r="AS13" i="291"/>
  <c r="AV12" i="291"/>
  <c r="AT12" i="291"/>
  <c r="AS12" i="291"/>
  <c r="AV11" i="291"/>
  <c r="AT11" i="291"/>
  <c r="AS11" i="291"/>
  <c r="AV10" i="291"/>
  <c r="AT10" i="291"/>
  <c r="AS10" i="291"/>
  <c r="AV9" i="291"/>
  <c r="AT9" i="291"/>
  <c r="AS9" i="291"/>
  <c r="AV8" i="291"/>
  <c r="AT8" i="291"/>
  <c r="AS8" i="291"/>
  <c r="AV7" i="291"/>
  <c r="AT7" i="291"/>
  <c r="AS7" i="291"/>
  <c r="AV6" i="291"/>
  <c r="AT6" i="291"/>
  <c r="AS6" i="291"/>
  <c r="AV5" i="291"/>
  <c r="AT5" i="291"/>
  <c r="AS5" i="291"/>
  <c r="BG48" i="233"/>
  <c r="BF48" i="233"/>
  <c r="BE48" i="233"/>
  <c r="BD48" i="233"/>
  <c r="BC48" i="233"/>
  <c r="BB48" i="233"/>
  <c r="BA48" i="233"/>
  <c r="AZ48" i="233"/>
  <c r="AY48" i="233"/>
  <c r="AX48" i="233"/>
  <c r="AW48" i="233"/>
  <c r="AV48" i="233"/>
  <c r="AU48" i="233"/>
  <c r="AR39" i="233"/>
  <c r="AQ39" i="233"/>
  <c r="AR38" i="233"/>
  <c r="AQ38" i="233"/>
  <c r="BH32" i="233"/>
  <c r="BG32" i="233"/>
  <c r="BE32" i="233"/>
  <c r="BD32" i="233"/>
  <c r="BC32" i="233"/>
  <c r="BB32" i="233"/>
  <c r="BA32" i="233"/>
  <c r="AZ32" i="233"/>
  <c r="AY32" i="233"/>
  <c r="AX32" i="233"/>
  <c r="AW32" i="233"/>
  <c r="AV32" i="233"/>
  <c r="AU32" i="233"/>
  <c r="BH30" i="233"/>
  <c r="BG30" i="233"/>
  <c r="BE30" i="233"/>
  <c r="BD30" i="233"/>
  <c r="BC30" i="233"/>
  <c r="BB30" i="233"/>
  <c r="BA30" i="233"/>
  <c r="AZ30" i="233"/>
  <c r="AY30" i="233"/>
  <c r="AX30" i="233"/>
  <c r="AW30" i="233"/>
  <c r="AV30" i="233"/>
  <c r="AU30" i="233"/>
  <c r="CD29" i="233"/>
  <c r="CC29" i="233"/>
  <c r="BH29" i="233"/>
  <c r="BG29" i="233"/>
  <c r="BE29" i="233"/>
  <c r="BD29" i="233"/>
  <c r="BC29" i="233"/>
  <c r="BB29" i="233"/>
  <c r="BA29" i="233"/>
  <c r="AZ29" i="233"/>
  <c r="AY29" i="233"/>
  <c r="AX29" i="233"/>
  <c r="AW29" i="233"/>
  <c r="AV29" i="233"/>
  <c r="AU29" i="233"/>
  <c r="CD28" i="233"/>
  <c r="CC28" i="233"/>
  <c r="BH28" i="233"/>
  <c r="BG28" i="233"/>
  <c r="BE28" i="233"/>
  <c r="BD28" i="233"/>
  <c r="BC28" i="233"/>
  <c r="BB28" i="233"/>
  <c r="BA28" i="233"/>
  <c r="AZ28" i="233"/>
  <c r="AY28" i="233"/>
  <c r="AX28" i="233"/>
  <c r="AW28" i="233"/>
  <c r="AV28" i="233"/>
  <c r="AU28" i="233"/>
  <c r="CD27" i="233"/>
  <c r="CC27" i="233"/>
  <c r="BH27" i="233"/>
  <c r="BG27" i="233"/>
  <c r="BE27" i="233"/>
  <c r="BD27" i="233"/>
  <c r="BC27" i="233"/>
  <c r="BB27" i="233"/>
  <c r="BA27" i="233"/>
  <c r="AZ27" i="233"/>
  <c r="AY27" i="233"/>
  <c r="AX27" i="233"/>
  <c r="AW27" i="233"/>
  <c r="AV27" i="233"/>
  <c r="AU27" i="233"/>
  <c r="Z27" i="233"/>
  <c r="CD26" i="233"/>
  <c r="CC26" i="233"/>
  <c r="BH26" i="233"/>
  <c r="BG26" i="233"/>
  <c r="BE26" i="233"/>
  <c r="BD26" i="233"/>
  <c r="BC26" i="233"/>
  <c r="BB26" i="233"/>
  <c r="BA26" i="233"/>
  <c r="AZ26" i="233"/>
  <c r="AY26" i="233"/>
  <c r="AX26" i="233"/>
  <c r="AW26" i="233"/>
  <c r="AV26" i="233"/>
  <c r="AU26" i="233"/>
  <c r="AA26" i="233"/>
  <c r="CD25" i="233"/>
  <c r="CC25" i="233"/>
  <c r="BH25" i="233"/>
  <c r="BG25" i="233"/>
  <c r="BE25" i="233"/>
  <c r="BD25" i="233"/>
  <c r="BC25" i="233"/>
  <c r="BB25" i="233"/>
  <c r="BA25" i="233"/>
  <c r="AZ25" i="233"/>
  <c r="AY25" i="233"/>
  <c r="AX25" i="233"/>
  <c r="AW25" i="233"/>
  <c r="AV25" i="233"/>
  <c r="AU25" i="233"/>
  <c r="CD24" i="233"/>
  <c r="CC24" i="233"/>
  <c r="BH24" i="233"/>
  <c r="BG24" i="233"/>
  <c r="BE24" i="233"/>
  <c r="BD24" i="233"/>
  <c r="BC24" i="233"/>
  <c r="BB24" i="233"/>
  <c r="BA24" i="233"/>
  <c r="AZ24" i="233"/>
  <c r="AY24" i="233"/>
  <c r="AX24" i="233"/>
  <c r="AW24" i="233"/>
  <c r="AV24" i="233"/>
  <c r="AU24" i="233"/>
  <c r="AA24" i="233"/>
  <c r="Z24" i="233"/>
  <c r="CD23" i="233"/>
  <c r="CC23" i="233"/>
  <c r="BH23" i="233"/>
  <c r="BG23" i="233"/>
  <c r="BE23" i="233"/>
  <c r="BD23" i="233"/>
  <c r="BC23" i="233"/>
  <c r="BB23" i="233"/>
  <c r="BA23" i="233"/>
  <c r="AZ23" i="233"/>
  <c r="AY23" i="233"/>
  <c r="AX23" i="233"/>
  <c r="AW23" i="233"/>
  <c r="AV23" i="233"/>
  <c r="AU23" i="233"/>
  <c r="U23" i="233"/>
  <c r="CD22" i="233"/>
  <c r="CC22" i="233"/>
  <c r="BH22" i="233"/>
  <c r="BG22" i="233"/>
  <c r="BE22" i="233"/>
  <c r="BD22" i="233"/>
  <c r="BC22" i="233"/>
  <c r="BB22" i="233"/>
  <c r="BA22" i="233"/>
  <c r="AZ22" i="233"/>
  <c r="AY22" i="233"/>
  <c r="AX22" i="233"/>
  <c r="AW22" i="233"/>
  <c r="AV22" i="233"/>
  <c r="AU22" i="233"/>
  <c r="CD21" i="233"/>
  <c r="CC21" i="233"/>
  <c r="BH21" i="233"/>
  <c r="BG21" i="233"/>
  <c r="BE21" i="233"/>
  <c r="BD21" i="233"/>
  <c r="BC21" i="233"/>
  <c r="BB21" i="233"/>
  <c r="BA21" i="233"/>
  <c r="AZ21" i="233"/>
  <c r="AY21" i="233"/>
  <c r="AX21" i="233"/>
  <c r="AW21" i="233"/>
  <c r="AV21" i="233"/>
  <c r="AU21" i="233"/>
  <c r="Z21" i="233"/>
  <c r="V21" i="233"/>
  <c r="CD20" i="233"/>
  <c r="CC20" i="233"/>
  <c r="BH20" i="233"/>
  <c r="BG20" i="233"/>
  <c r="BE20" i="233"/>
  <c r="BD20" i="233"/>
  <c r="BC20" i="233"/>
  <c r="BB20" i="233"/>
  <c r="BA20" i="233"/>
  <c r="AZ20" i="233"/>
  <c r="AY20" i="233"/>
  <c r="AX20" i="233"/>
  <c r="AW20" i="233"/>
  <c r="AV20" i="233"/>
  <c r="AU20" i="233"/>
  <c r="W20" i="233"/>
  <c r="V20" i="233"/>
  <c r="CD19" i="233"/>
  <c r="CC19" i="233"/>
  <c r="BH19" i="233"/>
  <c r="BG19" i="233"/>
  <c r="BE19" i="233"/>
  <c r="BD19" i="233"/>
  <c r="BC19" i="233"/>
  <c r="BB19" i="233"/>
  <c r="BA19" i="233"/>
  <c r="AZ19" i="233"/>
  <c r="AY19" i="233"/>
  <c r="AX19" i="233"/>
  <c r="AW19" i="233"/>
  <c r="AV19" i="233"/>
  <c r="AU19" i="233"/>
  <c r="CD18" i="233"/>
  <c r="CC18" i="233"/>
  <c r="S18" i="233"/>
  <c r="CD17" i="233"/>
  <c r="CC17" i="233"/>
  <c r="AR16" i="233"/>
  <c r="W16" i="233"/>
  <c r="V16" i="233"/>
  <c r="U16" i="233"/>
  <c r="BL15" i="233"/>
  <c r="BK15" i="233"/>
  <c r="BD15" i="233"/>
  <c r="AR15" i="233"/>
  <c r="X15" i="233"/>
  <c r="W15" i="233"/>
  <c r="V15" i="233"/>
  <c r="U15" i="233"/>
  <c r="Q15" i="233"/>
  <c r="P15" i="233"/>
  <c r="CC14" i="233"/>
  <c r="CB14" i="233"/>
  <c r="CA14" i="233"/>
  <c r="BZ14" i="233"/>
  <c r="BY14" i="233"/>
  <c r="BX14" i="233"/>
  <c r="BW14" i="233"/>
  <c r="BV14" i="233"/>
  <c r="BU14" i="233"/>
  <c r="BT14" i="233"/>
  <c r="BS14" i="233"/>
  <c r="BR14" i="233"/>
  <c r="BQ14" i="233"/>
  <c r="BL14" i="233"/>
  <c r="BK14" i="233"/>
  <c r="BD14" i="233"/>
  <c r="AR14" i="233"/>
  <c r="AI14" i="233"/>
  <c r="X14" i="233"/>
  <c r="W14" i="233"/>
  <c r="V14" i="233"/>
  <c r="U14" i="233"/>
  <c r="Q14" i="233"/>
  <c r="P14" i="233"/>
  <c r="CC13" i="233"/>
  <c r="BL13" i="233"/>
  <c r="BK13" i="233"/>
  <c r="BD13" i="233"/>
  <c r="AR13" i="233"/>
  <c r="X13" i="233"/>
  <c r="W13" i="233"/>
  <c r="V13" i="233"/>
  <c r="U13" i="233"/>
  <c r="Q13" i="233"/>
  <c r="P13" i="233"/>
  <c r="CC12" i="233"/>
  <c r="BL12" i="233"/>
  <c r="BK12" i="233"/>
  <c r="BD12" i="233"/>
  <c r="AR12" i="233"/>
  <c r="X12" i="233"/>
  <c r="W12" i="233"/>
  <c r="V12" i="233"/>
  <c r="U12" i="233"/>
  <c r="Q12" i="233"/>
  <c r="P12" i="233"/>
  <c r="CC11" i="233"/>
  <c r="BL11" i="233"/>
  <c r="BK11" i="233"/>
  <c r="BD11" i="233"/>
  <c r="AR11" i="233"/>
  <c r="X11" i="233"/>
  <c r="W11" i="233"/>
  <c r="V11" i="233"/>
  <c r="U11" i="233"/>
  <c r="Q11" i="233"/>
  <c r="P11" i="233"/>
  <c r="CC10" i="233"/>
  <c r="BL10" i="233"/>
  <c r="BK10" i="233"/>
  <c r="BD10" i="233"/>
  <c r="AR10" i="233"/>
  <c r="AE10" i="233"/>
  <c r="Q10" i="233" s="1"/>
  <c r="X10" i="233"/>
  <c r="W10" i="233"/>
  <c r="V10" i="233"/>
  <c r="U10" i="233"/>
  <c r="P10" i="233"/>
  <c r="CC9" i="233"/>
  <c r="BL9" i="233"/>
  <c r="BK9" i="233"/>
  <c r="BD9" i="233"/>
  <c r="AR9" i="233"/>
  <c r="AE9" i="233"/>
  <c r="X9" i="233"/>
  <c r="W9" i="233"/>
  <c r="V9" i="233"/>
  <c r="U9" i="233"/>
  <c r="Q9" i="233"/>
  <c r="P9" i="233"/>
  <c r="CC8" i="233"/>
  <c r="BL8" i="233"/>
  <c r="BK8" i="233"/>
  <c r="BD8" i="233"/>
  <c r="AR8" i="233"/>
  <c r="AE8" i="233"/>
  <c r="Q8" i="233" s="1"/>
  <c r="X8" i="233"/>
  <c r="W8" i="233"/>
  <c r="V8" i="233"/>
  <c r="U8" i="233"/>
  <c r="P8" i="233"/>
  <c r="CC7" i="233"/>
  <c r="BL7" i="233"/>
  <c r="BK7" i="233"/>
  <c r="BD7" i="233"/>
  <c r="AR7" i="233"/>
  <c r="AE7" i="233"/>
  <c r="Q7" i="233" s="1"/>
  <c r="X7" i="233"/>
  <c r="W7" i="233"/>
  <c r="V7" i="233"/>
  <c r="U7" i="233"/>
  <c r="P7" i="233"/>
  <c r="CC6" i="233"/>
  <c r="BL6" i="233"/>
  <c r="BK6" i="233"/>
  <c r="BD6" i="233"/>
  <c r="AR6" i="233"/>
  <c r="AE6" i="233"/>
  <c r="Q5" i="233" s="1"/>
  <c r="X6" i="233"/>
  <c r="W6" i="233"/>
  <c r="V6" i="233"/>
  <c r="U6" i="233"/>
  <c r="P6" i="233"/>
  <c r="CC5" i="233"/>
  <c r="BL5" i="233"/>
  <c r="BK5" i="233"/>
  <c r="BD5" i="233"/>
  <c r="AR5" i="233"/>
  <c r="AE5" i="233"/>
  <c r="Q6" i="233" s="1"/>
  <c r="X5" i="233"/>
  <c r="W5" i="233"/>
  <c r="V5" i="233"/>
  <c r="U5" i="233"/>
  <c r="P5" i="233"/>
  <c r="CC4" i="233"/>
  <c r="BL4" i="233"/>
  <c r="BK4" i="233"/>
  <c r="BD4" i="233"/>
  <c r="AR4" i="233"/>
  <c r="AE4" i="233"/>
  <c r="Q4" i="233" s="1"/>
  <c r="X4" i="233"/>
  <c r="W4" i="233"/>
  <c r="V4" i="233"/>
  <c r="U4" i="233"/>
  <c r="P4" i="233"/>
  <c r="CC3" i="233"/>
  <c r="CC2" i="233"/>
  <c r="U1" i="233"/>
  <c r="S1" i="233"/>
  <c r="K57" i="268"/>
  <c r="K56" i="268"/>
  <c r="K55" i="268"/>
  <c r="S54" i="268"/>
  <c r="R54" i="268"/>
  <c r="Q54" i="268"/>
  <c r="P54" i="268"/>
  <c r="K54" i="268"/>
  <c r="K52" i="268"/>
  <c r="S51" i="268"/>
  <c r="R51" i="268"/>
  <c r="Q51" i="268"/>
  <c r="P51" i="268"/>
  <c r="K51" i="268"/>
  <c r="S50" i="268"/>
  <c r="R50" i="268"/>
  <c r="Q50" i="268"/>
  <c r="P50" i="268"/>
  <c r="K50" i="268"/>
  <c r="K49" i="268"/>
  <c r="S48" i="268"/>
  <c r="R48" i="268"/>
  <c r="Q48" i="268"/>
  <c r="P48" i="268"/>
  <c r="K48" i="268"/>
  <c r="S47" i="268"/>
  <c r="R47" i="268"/>
  <c r="Q47" i="268"/>
  <c r="P47" i="268"/>
  <c r="K47" i="268"/>
  <c r="S45" i="268"/>
  <c r="R45" i="268"/>
  <c r="Q45" i="268"/>
  <c r="P45" i="268"/>
  <c r="K45" i="268"/>
  <c r="S44" i="268"/>
  <c r="R44" i="268"/>
  <c r="Q44" i="268"/>
  <c r="P44" i="268"/>
  <c r="K44" i="268"/>
  <c r="S43" i="268"/>
  <c r="R43" i="268"/>
  <c r="Q43" i="268"/>
  <c r="P43" i="268"/>
  <c r="M43" i="268"/>
  <c r="L43" i="268"/>
  <c r="S41" i="268"/>
  <c r="R41" i="268"/>
  <c r="Q41" i="268"/>
  <c r="P41" i="268"/>
  <c r="S40" i="268"/>
  <c r="R40" i="268"/>
  <c r="Q40" i="268"/>
  <c r="P40" i="268"/>
  <c r="S39" i="268"/>
  <c r="R39" i="268"/>
  <c r="Q39" i="268"/>
  <c r="P39" i="268"/>
  <c r="S38" i="268"/>
  <c r="R38" i="268"/>
  <c r="Q38" i="268"/>
  <c r="P38" i="268"/>
  <c r="S37" i="268"/>
  <c r="R37" i="268"/>
  <c r="Q37" i="268"/>
  <c r="P37" i="268"/>
  <c r="S36" i="268"/>
  <c r="R36" i="268"/>
  <c r="Q36" i="268"/>
  <c r="P36" i="268"/>
  <c r="S35" i="268"/>
  <c r="R35" i="268"/>
  <c r="Q35" i="268"/>
  <c r="P35" i="268"/>
  <c r="S34" i="268"/>
  <c r="R34" i="268"/>
  <c r="Q34" i="268"/>
  <c r="P34" i="268"/>
  <c r="S27" i="268"/>
  <c r="R27" i="268"/>
  <c r="Q27" i="268"/>
  <c r="P27" i="268"/>
  <c r="K27" i="268"/>
  <c r="S24" i="268"/>
  <c r="R24" i="268"/>
  <c r="Q24" i="268"/>
  <c r="P24" i="268"/>
  <c r="K24" i="268"/>
  <c r="S23" i="268"/>
  <c r="R23" i="268"/>
  <c r="Q23" i="268"/>
  <c r="P23" i="268"/>
  <c r="K23" i="268"/>
  <c r="S22" i="268"/>
  <c r="R22" i="268"/>
  <c r="Q22" i="268"/>
  <c r="P22" i="268"/>
  <c r="K22" i="268"/>
  <c r="S21" i="268"/>
  <c r="R21" i="268"/>
  <c r="Q21" i="268"/>
  <c r="P21" i="268"/>
  <c r="K21" i="268"/>
  <c r="S20" i="268"/>
  <c r="R20" i="268"/>
  <c r="Q20" i="268"/>
  <c r="P20" i="268"/>
  <c r="K20" i="268"/>
  <c r="S19" i="268"/>
  <c r="R19" i="268"/>
  <c r="Q19" i="268"/>
  <c r="P19" i="268"/>
  <c r="K19" i="268"/>
  <c r="R18" i="268"/>
  <c r="Q18" i="268"/>
  <c r="P18" i="268"/>
  <c r="K18" i="268"/>
  <c r="S17" i="268"/>
  <c r="R17" i="268"/>
  <c r="Q17" i="268"/>
  <c r="P17" i="268"/>
  <c r="K17" i="268"/>
  <c r="S16" i="268"/>
  <c r="R16" i="268"/>
  <c r="Q16" i="268"/>
  <c r="P16" i="268"/>
  <c r="L16" i="268"/>
  <c r="K16" i="268"/>
  <c r="S15" i="268"/>
  <c r="R15" i="268"/>
  <c r="Q15" i="268"/>
  <c r="P15" i="268"/>
  <c r="K15" i="268"/>
  <c r="S14" i="268"/>
  <c r="R14" i="268"/>
  <c r="Q14" i="268"/>
  <c r="P14" i="268"/>
  <c r="K14" i="268"/>
  <c r="S13" i="268"/>
  <c r="R13" i="268"/>
  <c r="Q13" i="268"/>
  <c r="P13" i="268"/>
  <c r="K13" i="268"/>
  <c r="S12" i="268"/>
  <c r="R12" i="268"/>
  <c r="Q12" i="268"/>
  <c r="P12" i="268"/>
  <c r="K12" i="268"/>
  <c r="S11" i="268"/>
  <c r="R11" i="268"/>
  <c r="Q11" i="268"/>
  <c r="P11" i="268"/>
  <c r="K11" i="268"/>
  <c r="S10" i="268"/>
  <c r="R10" i="268"/>
  <c r="Q10" i="268"/>
  <c r="P10" i="268"/>
  <c r="K10" i="268"/>
  <c r="S9" i="268"/>
  <c r="R9" i="268"/>
  <c r="Q9" i="268"/>
  <c r="P9" i="268"/>
  <c r="K9" i="268"/>
  <c r="S8" i="268"/>
  <c r="R8" i="268"/>
  <c r="Q8" i="268"/>
  <c r="P8" i="268"/>
  <c r="K8" i="268"/>
  <c r="S7" i="268"/>
  <c r="R7" i="268"/>
  <c r="Q7" i="268"/>
  <c r="P7" i="268"/>
  <c r="K7" i="268"/>
  <c r="S6" i="268"/>
  <c r="R6" i="268"/>
  <c r="Q6" i="268"/>
  <c r="P6" i="268"/>
  <c r="K6" i="268"/>
  <c r="S5" i="268"/>
  <c r="R5" i="268"/>
  <c r="Q5" i="268"/>
  <c r="P5" i="268"/>
  <c r="K5" i="268"/>
  <c r="D15" i="42"/>
  <c r="E14" i="42"/>
  <c r="E13" i="42"/>
  <c r="AE12" i="42"/>
  <c r="E12" i="42"/>
  <c r="AE11" i="42"/>
  <c r="E11" i="42"/>
  <c r="AE10" i="42"/>
  <c r="E10" i="42"/>
  <c r="AE9" i="42"/>
  <c r="E9" i="42"/>
  <c r="AE8" i="42"/>
  <c r="E8" i="42"/>
  <c r="AE7" i="42"/>
  <c r="E7" i="42"/>
  <c r="AE6" i="42"/>
  <c r="E6" i="42"/>
  <c r="AE5" i="42"/>
  <c r="E5" i="42"/>
  <c r="AE4" i="42"/>
  <c r="AE3" i="42"/>
  <c r="Q11" i="189"/>
  <c r="F25" i="95"/>
  <c r="F22" i="95"/>
  <c r="U44" i="266"/>
  <c r="T44" i="266"/>
  <c r="S44" i="266"/>
  <c r="R44" i="266"/>
  <c r="Q44" i="266"/>
  <c r="P44" i="266"/>
  <c r="O44" i="266"/>
  <c r="N44" i="266"/>
  <c r="M44" i="266"/>
  <c r="L44" i="266"/>
  <c r="K44" i="266"/>
  <c r="J44" i="266"/>
  <c r="I44" i="266"/>
  <c r="H44" i="266"/>
  <c r="G44" i="266"/>
  <c r="F44" i="266"/>
  <c r="E44" i="266"/>
  <c r="D44" i="266"/>
  <c r="U43" i="266"/>
  <c r="T43" i="266"/>
  <c r="S43" i="266"/>
  <c r="R43" i="266"/>
  <c r="Q43" i="266"/>
  <c r="P43" i="266"/>
  <c r="O43" i="266"/>
  <c r="N43" i="266"/>
  <c r="M43" i="266"/>
  <c r="L43" i="266"/>
  <c r="K43" i="266"/>
  <c r="J43" i="266"/>
  <c r="I43" i="266"/>
  <c r="H43" i="266"/>
  <c r="G43" i="266"/>
  <c r="F43" i="266"/>
  <c r="E43" i="266"/>
  <c r="D43" i="266"/>
  <c r="U40" i="266"/>
  <c r="T40" i="266"/>
  <c r="S40" i="266"/>
  <c r="R40" i="266"/>
  <c r="Q40" i="266"/>
  <c r="P40" i="266"/>
  <c r="O40" i="266"/>
  <c r="N40" i="266"/>
  <c r="M40" i="266"/>
  <c r="L40" i="266"/>
  <c r="K40" i="266"/>
  <c r="J40" i="266"/>
  <c r="I40" i="266"/>
  <c r="H40" i="266"/>
  <c r="G40" i="266"/>
  <c r="F40" i="266"/>
  <c r="E40" i="266"/>
  <c r="D40" i="266"/>
  <c r="U26" i="266"/>
  <c r="T26" i="266"/>
  <c r="S26" i="266"/>
  <c r="R26" i="266"/>
  <c r="Q26" i="266"/>
  <c r="P26" i="266"/>
  <c r="O26" i="266"/>
  <c r="N26" i="266"/>
  <c r="M26" i="266"/>
  <c r="L26" i="266"/>
  <c r="K26" i="266"/>
  <c r="J26" i="266"/>
  <c r="I26" i="266"/>
  <c r="H26" i="266"/>
  <c r="G26" i="266"/>
  <c r="F26" i="266"/>
  <c r="E26" i="266"/>
  <c r="D26" i="266"/>
  <c r="U23" i="266"/>
  <c r="T23" i="266"/>
  <c r="S23" i="266"/>
  <c r="R23" i="266"/>
  <c r="Q23" i="266"/>
  <c r="P23" i="266"/>
  <c r="O23" i="266"/>
  <c r="N23" i="266"/>
  <c r="M23" i="266"/>
  <c r="L23" i="266"/>
  <c r="K23" i="266"/>
  <c r="J23" i="266"/>
  <c r="I23" i="266"/>
  <c r="H23" i="266"/>
  <c r="G23" i="266"/>
  <c r="F23" i="266"/>
  <c r="E23" i="266"/>
  <c r="D23" i="266"/>
  <c r="J34" i="264"/>
  <c r="I34" i="264"/>
  <c r="G34" i="264"/>
  <c r="F34" i="264"/>
  <c r="K33" i="264"/>
  <c r="H33" i="264"/>
  <c r="K32" i="264"/>
  <c r="H32" i="264"/>
  <c r="K31" i="264"/>
  <c r="H31" i="264"/>
  <c r="J30" i="264"/>
  <c r="I30" i="264"/>
  <c r="G30" i="264"/>
  <c r="F30" i="264"/>
  <c r="K29" i="264"/>
  <c r="H29" i="264"/>
  <c r="K28" i="264"/>
  <c r="H28" i="264"/>
  <c r="J27" i="264"/>
  <c r="I27" i="264"/>
  <c r="G27" i="264"/>
  <c r="F27" i="264"/>
  <c r="K26" i="264"/>
  <c r="H26" i="264"/>
  <c r="K25" i="264"/>
  <c r="H25" i="264"/>
  <c r="K24" i="264"/>
  <c r="H24" i="264"/>
  <c r="J23" i="264"/>
  <c r="I23" i="264"/>
  <c r="G23" i="264"/>
  <c r="F23" i="264"/>
  <c r="K22" i="264"/>
  <c r="H22" i="264"/>
  <c r="K21" i="264"/>
  <c r="H21" i="264"/>
  <c r="K20" i="264"/>
  <c r="H20" i="264"/>
  <c r="J19" i="264"/>
  <c r="I19" i="264"/>
  <c r="G19" i="264"/>
  <c r="F19" i="264"/>
  <c r="K18" i="264"/>
  <c r="H18" i="264"/>
  <c r="K17" i="264"/>
  <c r="H17" i="264"/>
  <c r="K16" i="264"/>
  <c r="H16" i="264"/>
  <c r="J15" i="264"/>
  <c r="I15" i="264"/>
  <c r="G15" i="264"/>
  <c r="F15" i="264"/>
  <c r="K14" i="264"/>
  <c r="H14" i="264"/>
  <c r="K13" i="264"/>
  <c r="H13" i="264"/>
  <c r="K12" i="264"/>
  <c r="H12" i="264"/>
  <c r="K11" i="264"/>
  <c r="H11" i="264"/>
  <c r="K10" i="264"/>
  <c r="H10" i="264"/>
  <c r="K9" i="264"/>
  <c r="H9" i="264"/>
  <c r="K8" i="264"/>
  <c r="H8" i="264"/>
  <c r="K7" i="264"/>
  <c r="H7" i="264"/>
  <c r="K6" i="264"/>
  <c r="H6" i="264"/>
  <c r="E33" i="34"/>
  <c r="E31" i="34"/>
  <c r="E30" i="34"/>
  <c r="E29" i="34"/>
  <c r="E28" i="34"/>
  <c r="E27" i="34"/>
  <c r="E26" i="34"/>
  <c r="E25" i="34"/>
  <c r="E24" i="34"/>
  <c r="E23" i="34"/>
  <c r="E22" i="34"/>
  <c r="E21" i="34"/>
  <c r="E20" i="34"/>
  <c r="E19" i="34"/>
  <c r="E18" i="34"/>
  <c r="E17" i="34"/>
  <c r="E16" i="34"/>
  <c r="E15" i="34"/>
  <c r="E14" i="34"/>
  <c r="E13" i="34"/>
  <c r="E12" i="34"/>
  <c r="E11" i="34"/>
  <c r="E10" i="34"/>
  <c r="E9" i="34"/>
  <c r="E8" i="34"/>
  <c r="E7" i="34"/>
  <c r="E6" i="34"/>
  <c r="E5" i="34"/>
  <c r="M51" i="262"/>
  <c r="L51" i="262"/>
  <c r="K51" i="262"/>
  <c r="J51" i="262"/>
  <c r="I51" i="262"/>
  <c r="H51" i="262"/>
  <c r="G51" i="262"/>
  <c r="F51" i="262"/>
  <c r="E51" i="262"/>
  <c r="D51" i="262"/>
  <c r="C51" i="262"/>
  <c r="S50" i="262"/>
  <c r="S49" i="262"/>
  <c r="S48" i="262"/>
  <c r="S47" i="262"/>
  <c r="S46" i="262"/>
  <c r="S45" i="262"/>
  <c r="S44" i="262"/>
  <c r="S43" i="262"/>
  <c r="S42" i="262"/>
  <c r="S41" i="262"/>
  <c r="S40" i="262"/>
  <c r="S39" i="262"/>
  <c r="K31" i="262"/>
  <c r="I31" i="262"/>
  <c r="G31" i="262"/>
  <c r="E31" i="262"/>
  <c r="C31" i="262"/>
  <c r="S30" i="262"/>
  <c r="S29" i="262"/>
  <c r="S28" i="262"/>
  <c r="S27" i="262"/>
  <c r="S26" i="262"/>
  <c r="S25" i="262"/>
  <c r="S24" i="262"/>
  <c r="R24" i="262"/>
  <c r="K24" i="262"/>
  <c r="I24" i="262"/>
  <c r="G24" i="262"/>
  <c r="E24" i="262"/>
  <c r="C24" i="262"/>
  <c r="S22" i="262"/>
  <c r="R22" i="262"/>
  <c r="K22" i="262"/>
  <c r="I22" i="262"/>
  <c r="G22" i="262"/>
  <c r="E22" i="262"/>
  <c r="C22" i="262"/>
  <c r="S21" i="262"/>
  <c r="S20" i="262"/>
  <c r="S19" i="262"/>
  <c r="S18" i="262"/>
  <c r="S17" i="262"/>
  <c r="S16" i="262"/>
  <c r="R16" i="262"/>
  <c r="K16" i="262"/>
  <c r="I16" i="262"/>
  <c r="G16" i="262"/>
  <c r="E16" i="262"/>
  <c r="C16" i="262"/>
  <c r="S15" i="262"/>
  <c r="S14" i="262"/>
  <c r="S13" i="262"/>
  <c r="S12" i="262"/>
  <c r="S11" i="262"/>
  <c r="S10" i="262"/>
  <c r="R10" i="262"/>
  <c r="K10" i="262"/>
  <c r="I10" i="262"/>
  <c r="G10" i="262"/>
  <c r="E10" i="262"/>
  <c r="C10" i="262"/>
  <c r="S9" i="262"/>
  <c r="S8" i="262"/>
  <c r="S7" i="262"/>
  <c r="S6" i="262"/>
  <c r="S5" i="262"/>
  <c r="R5" i="262"/>
  <c r="K5" i="262"/>
  <c r="I5" i="262"/>
  <c r="G5" i="262"/>
  <c r="E5" i="262"/>
  <c r="C5" i="262"/>
  <c r="J52" i="261"/>
  <c r="I52" i="261"/>
  <c r="H52" i="261"/>
  <c r="G52" i="261"/>
  <c r="F52" i="261"/>
  <c r="J51" i="261"/>
  <c r="I51" i="261"/>
  <c r="H51" i="261"/>
  <c r="G51" i="261"/>
  <c r="F51" i="261"/>
  <c r="J43" i="261"/>
  <c r="I43" i="261"/>
  <c r="H43" i="261"/>
  <c r="G43" i="261"/>
  <c r="F43" i="261"/>
  <c r="J42" i="261"/>
  <c r="I42" i="261"/>
  <c r="H42" i="261"/>
  <c r="G42" i="261"/>
  <c r="F42" i="261"/>
  <c r="J33" i="261"/>
  <c r="I33" i="261"/>
  <c r="H33" i="261"/>
  <c r="G33" i="261"/>
  <c r="F33" i="261"/>
  <c r="J29" i="261"/>
  <c r="I29" i="261"/>
  <c r="H29" i="261"/>
  <c r="G29" i="261"/>
  <c r="F29" i="261"/>
  <c r="J25" i="261"/>
  <c r="I25" i="261"/>
  <c r="H25" i="261"/>
  <c r="G25" i="261"/>
  <c r="F25" i="261"/>
  <c r="J22" i="261"/>
  <c r="I22" i="261"/>
  <c r="H22" i="261"/>
  <c r="G22" i="261"/>
  <c r="F22" i="261"/>
  <c r="J18" i="261"/>
  <c r="I18" i="261"/>
  <c r="H18" i="261"/>
  <c r="G18" i="261"/>
  <c r="F18" i="261"/>
  <c r="J14" i="261"/>
  <c r="I14" i="261"/>
  <c r="H14" i="261"/>
  <c r="G14" i="261"/>
  <c r="F14" i="261"/>
  <c r="U35" i="260"/>
  <c r="U27" i="260"/>
  <c r="U24" i="260"/>
  <c r="G204" i="259"/>
  <c r="F204" i="259"/>
  <c r="E204" i="259"/>
  <c r="D204" i="259"/>
  <c r="C204" i="259"/>
  <c r="G203" i="259"/>
  <c r="F203" i="259"/>
  <c r="E203" i="259"/>
  <c r="D203" i="259"/>
  <c r="C203" i="259"/>
  <c r="G202" i="259"/>
  <c r="F202" i="259"/>
  <c r="E202" i="259"/>
  <c r="D202" i="259"/>
  <c r="C202" i="259"/>
  <c r="G201" i="259"/>
  <c r="F201" i="259"/>
  <c r="E201" i="259"/>
  <c r="D201" i="259"/>
  <c r="C201" i="259"/>
  <c r="G200" i="259"/>
  <c r="F200" i="259"/>
  <c r="E200" i="259"/>
  <c r="D200" i="259"/>
  <c r="C200" i="259"/>
  <c r="G199" i="259"/>
  <c r="F199" i="259"/>
  <c r="E199" i="259"/>
  <c r="D199" i="259"/>
  <c r="C199" i="259"/>
  <c r="G198" i="259"/>
  <c r="F198" i="259"/>
  <c r="E198" i="259"/>
  <c r="D198" i="259"/>
  <c r="C198" i="259"/>
  <c r="G197" i="259"/>
  <c r="F197" i="259"/>
  <c r="E197" i="259"/>
  <c r="D197" i="259"/>
  <c r="C197" i="259"/>
  <c r="H166" i="259"/>
  <c r="G166" i="259"/>
  <c r="F166" i="259"/>
  <c r="E166" i="259"/>
  <c r="D166" i="259"/>
  <c r="H165" i="259"/>
  <c r="G165" i="259"/>
  <c r="F165" i="259"/>
  <c r="E165" i="259"/>
  <c r="D165" i="259"/>
  <c r="H164" i="259"/>
  <c r="G164" i="259"/>
  <c r="F164" i="259"/>
  <c r="E164" i="259"/>
  <c r="D164" i="259"/>
  <c r="H163" i="259"/>
  <c r="G163" i="259"/>
  <c r="F163" i="259"/>
  <c r="E163" i="259"/>
  <c r="D163" i="259"/>
  <c r="H162" i="259"/>
  <c r="G162" i="259"/>
  <c r="F162" i="259"/>
  <c r="E162" i="259"/>
  <c r="D162" i="259"/>
  <c r="H153" i="259"/>
  <c r="G153" i="259"/>
  <c r="F153" i="259"/>
  <c r="E153" i="259"/>
  <c r="D153" i="259"/>
  <c r="H152" i="259"/>
  <c r="G152" i="259"/>
  <c r="F152" i="259"/>
  <c r="E152" i="259"/>
  <c r="D152" i="259"/>
  <c r="H151" i="259"/>
  <c r="G151" i="259"/>
  <c r="F151" i="259"/>
  <c r="E151" i="259"/>
  <c r="D151" i="259"/>
  <c r="H150" i="259"/>
  <c r="G150" i="259"/>
  <c r="F150" i="259"/>
  <c r="E150" i="259"/>
  <c r="D150" i="259"/>
  <c r="H149" i="259"/>
  <c r="G149" i="259"/>
  <c r="F149" i="259"/>
  <c r="E149" i="259"/>
  <c r="D149" i="259"/>
  <c r="H148" i="259"/>
  <c r="G148" i="259"/>
  <c r="F148" i="259"/>
  <c r="E148" i="259"/>
  <c r="D148" i="259"/>
  <c r="H147" i="259"/>
  <c r="G147" i="259"/>
  <c r="F147" i="259"/>
  <c r="E147" i="259"/>
  <c r="D147" i="259"/>
  <c r="G133" i="259"/>
  <c r="F133" i="259"/>
  <c r="E133" i="259"/>
  <c r="D133" i="259"/>
  <c r="G132" i="259"/>
  <c r="F132" i="259"/>
  <c r="E132" i="259"/>
  <c r="D132" i="259"/>
  <c r="G131" i="259"/>
  <c r="F131" i="259"/>
  <c r="E131" i="259"/>
  <c r="D131" i="259"/>
  <c r="H130" i="259"/>
  <c r="G130" i="259"/>
  <c r="F130" i="259"/>
  <c r="E130" i="259"/>
  <c r="D130" i="259"/>
  <c r="Z129" i="259"/>
  <c r="H129" i="259"/>
  <c r="G129" i="259"/>
  <c r="F129" i="259"/>
  <c r="E129" i="259"/>
  <c r="D129" i="259"/>
  <c r="H128" i="259"/>
  <c r="G128" i="259"/>
  <c r="F128" i="259"/>
  <c r="E128" i="259"/>
  <c r="D128" i="259"/>
  <c r="H127" i="259"/>
  <c r="G127" i="259"/>
  <c r="F127" i="259"/>
  <c r="E127" i="259"/>
  <c r="D127" i="259"/>
  <c r="H126" i="259"/>
  <c r="G126" i="259"/>
  <c r="F126" i="259"/>
  <c r="E126" i="259"/>
  <c r="D126" i="259"/>
  <c r="H125" i="259"/>
  <c r="G125" i="259"/>
  <c r="F125" i="259"/>
  <c r="E125" i="259"/>
  <c r="D125" i="259"/>
  <c r="H124" i="259"/>
  <c r="G124" i="259"/>
  <c r="F124" i="259"/>
  <c r="E124" i="259"/>
  <c r="D124" i="259"/>
  <c r="AC19" i="259"/>
  <c r="AB19" i="259"/>
  <c r="AA19" i="259"/>
  <c r="Z19" i="259"/>
  <c r="AC18" i="259"/>
  <c r="AB18" i="259"/>
  <c r="AA18" i="259"/>
  <c r="Z18" i="259"/>
  <c r="AC14" i="259"/>
  <c r="AB14" i="259"/>
  <c r="AA14" i="259"/>
  <c r="Z14" i="259"/>
  <c r="Y14" i="259"/>
  <c r="X14" i="259"/>
  <c r="AC13" i="259"/>
  <c r="AB13" i="259"/>
  <c r="AA13" i="259"/>
  <c r="Z13" i="259"/>
  <c r="Y13" i="259"/>
  <c r="X13" i="259"/>
  <c r="AD12" i="259"/>
  <c r="AC12" i="259"/>
  <c r="AB12" i="259"/>
  <c r="AA12" i="259"/>
  <c r="Z12" i="259"/>
  <c r="Y12" i="259"/>
  <c r="X12" i="259"/>
  <c r="AD11" i="259"/>
  <c r="AC11" i="259"/>
  <c r="AB11" i="259"/>
  <c r="AA11" i="259"/>
  <c r="Z11" i="259"/>
  <c r="Y11" i="259"/>
  <c r="X11" i="259"/>
  <c r="AD10" i="259"/>
  <c r="AC10" i="259"/>
  <c r="AB10" i="259"/>
  <c r="AA10" i="259"/>
  <c r="Z10" i="259"/>
  <c r="Y10" i="259"/>
  <c r="X10" i="259"/>
  <c r="AD9" i="259"/>
  <c r="AC9" i="259"/>
  <c r="AB9" i="259"/>
  <c r="AA9" i="259"/>
  <c r="Z9" i="259"/>
  <c r="Y9" i="259"/>
  <c r="X9" i="259"/>
  <c r="AD8" i="259"/>
  <c r="AC8" i="259"/>
  <c r="AB8" i="259"/>
  <c r="AA8" i="259"/>
  <c r="Z8" i="259"/>
  <c r="Y8" i="259"/>
  <c r="X8" i="259"/>
  <c r="AD7" i="259"/>
  <c r="AC7" i="259"/>
  <c r="AB7" i="259"/>
  <c r="AA7" i="259"/>
  <c r="Z7" i="259"/>
  <c r="Y7" i="259"/>
  <c r="X7" i="259"/>
  <c r="AC6" i="259"/>
  <c r="AB6" i="259"/>
  <c r="AA6" i="259"/>
  <c r="Z6" i="259"/>
  <c r="Y6" i="259"/>
  <c r="X6" i="259"/>
  <c r="AC5" i="259"/>
  <c r="AB5" i="259"/>
  <c r="AA5" i="259"/>
  <c r="Z5" i="259"/>
  <c r="Y5" i="259"/>
  <c r="X5" i="259"/>
  <c r="H12" i="257"/>
  <c r="H11" i="257"/>
  <c r="E11" i="257"/>
  <c r="H9" i="257"/>
  <c r="H8" i="257"/>
  <c r="H7" i="257"/>
  <c r="H6" i="257"/>
  <c r="H5" i="257"/>
  <c r="H4" i="257"/>
  <c r="H3" i="257"/>
  <c r="I39" i="269"/>
  <c r="F39" i="269"/>
  <c r="K51" i="193"/>
  <c r="J51" i="193"/>
  <c r="I51" i="193"/>
  <c r="H51" i="193"/>
  <c r="G51" i="193"/>
  <c r="F51" i="193"/>
  <c r="E51" i="193"/>
  <c r="D51" i="193"/>
  <c r="I12" i="288"/>
  <c r="H12" i="288"/>
  <c r="G12" i="288"/>
  <c r="F12" i="288"/>
  <c r="F101" i="254"/>
  <c r="E101" i="254"/>
  <c r="F100" i="254"/>
  <c r="E100" i="254"/>
  <c r="F99" i="254"/>
  <c r="E99" i="254"/>
  <c r="F98" i="254"/>
  <c r="E98" i="254"/>
  <c r="F97" i="254"/>
  <c r="E97" i="254"/>
  <c r="F96" i="254"/>
  <c r="E96" i="254"/>
  <c r="F95" i="254"/>
  <c r="E95" i="254"/>
  <c r="F94" i="254"/>
  <c r="E94" i="254"/>
  <c r="F93" i="254"/>
  <c r="E93" i="254"/>
  <c r="F92" i="254"/>
  <c r="E92" i="254"/>
  <c r="F91" i="254"/>
  <c r="E91" i="254"/>
  <c r="F90" i="254"/>
  <c r="E90" i="254"/>
  <c r="F89" i="254"/>
  <c r="E89" i="254"/>
  <c r="F88" i="254"/>
  <c r="E88" i="254"/>
  <c r="F73" i="254"/>
  <c r="E73" i="254"/>
  <c r="F72" i="254"/>
  <c r="E72" i="254"/>
  <c r="F71" i="254"/>
  <c r="E71" i="254"/>
  <c r="F70" i="254"/>
  <c r="E70" i="254"/>
  <c r="F69" i="254"/>
  <c r="E69" i="254"/>
  <c r="F68" i="254"/>
  <c r="E68" i="254"/>
  <c r="F67" i="254"/>
  <c r="E67" i="254"/>
  <c r="AB70" i="253"/>
  <c r="AA70" i="253"/>
  <c r="Z70" i="253"/>
  <c r="Y70" i="253"/>
  <c r="X70" i="253"/>
  <c r="W70" i="253"/>
  <c r="V70" i="253"/>
  <c r="AB69" i="253"/>
  <c r="AA69" i="253"/>
  <c r="Z69" i="253"/>
  <c r="Y69" i="253"/>
  <c r="X69" i="253"/>
  <c r="W69" i="253"/>
  <c r="V69" i="253"/>
  <c r="J40" i="253"/>
  <c r="H40" i="253"/>
  <c r="G40" i="253"/>
  <c r="F40" i="253"/>
  <c r="E40" i="253"/>
  <c r="D40" i="253"/>
  <c r="C40" i="253"/>
  <c r="J39" i="253"/>
  <c r="H39" i="253"/>
  <c r="G39" i="253"/>
  <c r="F39" i="253"/>
  <c r="E39" i="253"/>
  <c r="D39" i="253"/>
  <c r="J38" i="253"/>
  <c r="H38" i="253"/>
  <c r="G38" i="253"/>
  <c r="F38" i="253"/>
  <c r="E38" i="253"/>
  <c r="D38" i="253"/>
  <c r="J37" i="253"/>
  <c r="H37" i="253"/>
  <c r="G37" i="253"/>
  <c r="F37" i="253"/>
  <c r="E37" i="253"/>
  <c r="D37" i="253"/>
  <c r="J36" i="253"/>
  <c r="H36" i="253"/>
  <c r="G36" i="253"/>
  <c r="F36" i="253"/>
  <c r="E36" i="253"/>
  <c r="D36" i="253"/>
  <c r="J33" i="253"/>
  <c r="H33" i="253"/>
  <c r="G33" i="253"/>
  <c r="F33" i="253"/>
  <c r="E33" i="253"/>
  <c r="D33" i="253"/>
  <c r="J26" i="253"/>
  <c r="H26" i="253"/>
  <c r="G26" i="253"/>
  <c r="F26" i="253"/>
  <c r="E26" i="253"/>
  <c r="D26" i="253"/>
  <c r="C26" i="253"/>
  <c r="J19" i="253"/>
  <c r="H19" i="253"/>
  <c r="G19" i="253"/>
  <c r="F19" i="253"/>
  <c r="E19" i="253"/>
  <c r="D19" i="253"/>
  <c r="G39" i="252"/>
  <c r="F39" i="252"/>
  <c r="E39" i="252"/>
  <c r="D39" i="252"/>
  <c r="C39" i="252"/>
  <c r="B39" i="252"/>
  <c r="A39" i="252"/>
  <c r="G38" i="252"/>
  <c r="F38" i="252"/>
  <c r="E38" i="252"/>
  <c r="D38" i="252"/>
  <c r="C38" i="252"/>
  <c r="B38" i="252"/>
  <c r="G37" i="252"/>
  <c r="F37" i="252"/>
  <c r="E37" i="252"/>
  <c r="D37" i="252"/>
  <c r="C37" i="252"/>
  <c r="B37" i="252"/>
  <c r="G36" i="252"/>
  <c r="F36" i="252"/>
  <c r="E36" i="252"/>
  <c r="D36" i="252"/>
  <c r="C36" i="252"/>
  <c r="B36" i="252"/>
  <c r="G35" i="252"/>
  <c r="F35" i="252"/>
  <c r="E35" i="252"/>
  <c r="D35" i="252"/>
  <c r="C35" i="252"/>
  <c r="B35" i="252"/>
  <c r="A25" i="252"/>
  <c r="G34" i="241"/>
  <c r="F34" i="241"/>
  <c r="E34" i="241"/>
  <c r="D34" i="241"/>
  <c r="C34" i="241"/>
  <c r="G36" i="287"/>
  <c r="F36" i="287"/>
  <c r="E36" i="287"/>
  <c r="D36" i="287"/>
  <c r="C36" i="287"/>
  <c r="G35" i="287"/>
  <c r="F35" i="287"/>
  <c r="E35" i="287"/>
  <c r="D35" i="287"/>
  <c r="C35" i="287"/>
  <c r="G26" i="240"/>
  <c r="F26" i="240"/>
  <c r="E26" i="240"/>
  <c r="D26" i="240"/>
  <c r="C26" i="240"/>
  <c r="G36" i="173"/>
  <c r="F36" i="173"/>
  <c r="E36" i="173"/>
  <c r="D36" i="173"/>
  <c r="C36" i="173"/>
  <c r="G35" i="173"/>
  <c r="F35" i="173"/>
  <c r="E35" i="173"/>
  <c r="D35" i="173"/>
  <c r="C35" i="173"/>
  <c r="F36" i="178"/>
  <c r="E36" i="178"/>
  <c r="D36" i="178"/>
  <c r="C36" i="178"/>
  <c r="F35" i="178"/>
  <c r="E35" i="178"/>
  <c r="D35" i="178"/>
  <c r="C35" i="178"/>
  <c r="G18" i="15"/>
  <c r="F18" i="15"/>
  <c r="E18" i="15"/>
  <c r="D18" i="15"/>
  <c r="G17" i="15"/>
  <c r="F17" i="15"/>
  <c r="E17" i="15"/>
  <c r="D17" i="15"/>
  <c r="G14" i="15"/>
  <c r="F14" i="15"/>
  <c r="E14" i="15"/>
  <c r="D14" i="15"/>
  <c r="H56" i="251"/>
  <c r="G56" i="251"/>
  <c r="E56" i="251"/>
  <c r="D56" i="251"/>
  <c r="I55" i="251"/>
  <c r="H55" i="251"/>
  <c r="G55" i="251"/>
  <c r="F55" i="251"/>
  <c r="E55" i="251"/>
  <c r="D55" i="251"/>
  <c r="H52" i="251"/>
  <c r="E52" i="251"/>
  <c r="I50" i="251"/>
  <c r="H50" i="251"/>
  <c r="G50" i="251"/>
  <c r="F50" i="251"/>
  <c r="E50" i="251"/>
  <c r="D50" i="251"/>
  <c r="H48" i="251"/>
  <c r="E48" i="251"/>
  <c r="I41" i="251"/>
  <c r="H41" i="251"/>
  <c r="G41" i="251"/>
  <c r="F41" i="251"/>
  <c r="I37" i="251"/>
  <c r="H37" i="251"/>
  <c r="G37" i="251"/>
  <c r="F37" i="251"/>
  <c r="J8" i="251"/>
  <c r="I8" i="251"/>
  <c r="H8" i="251"/>
  <c r="G8" i="251"/>
  <c r="F8" i="251"/>
  <c r="E8" i="251"/>
  <c r="T37" i="195"/>
  <c r="S37" i="195"/>
  <c r="R37" i="195"/>
  <c r="Q37" i="195"/>
  <c r="P37" i="195"/>
  <c r="O37" i="195"/>
  <c r="N37" i="195"/>
  <c r="M37" i="195"/>
  <c r="L37" i="195"/>
  <c r="K37" i="195"/>
  <c r="J37" i="195"/>
  <c r="I37" i="195"/>
  <c r="H37" i="195"/>
  <c r="G37" i="195"/>
  <c r="F37" i="195"/>
  <c r="E37" i="195"/>
  <c r="D37" i="195"/>
  <c r="T36" i="195"/>
  <c r="S36" i="195"/>
  <c r="R36" i="195"/>
  <c r="Q36" i="195"/>
  <c r="P36" i="195"/>
  <c r="O36" i="195"/>
  <c r="N36" i="195"/>
  <c r="M36" i="195"/>
  <c r="L36" i="195"/>
  <c r="H36" i="195"/>
  <c r="G36" i="195"/>
  <c r="F36" i="195"/>
  <c r="E36" i="195"/>
  <c r="D36" i="195"/>
  <c r="P35" i="195"/>
  <c r="L35" i="195"/>
  <c r="H35" i="195"/>
  <c r="T34" i="195"/>
  <c r="P34" i="195"/>
  <c r="L34" i="195"/>
  <c r="H34" i="195"/>
  <c r="T33" i="195"/>
  <c r="P33" i="195"/>
  <c r="L33" i="195"/>
  <c r="H33" i="195"/>
  <c r="T32" i="195"/>
  <c r="P32" i="195"/>
  <c r="L32" i="195"/>
  <c r="H32" i="195"/>
  <c r="T30" i="195"/>
  <c r="S30" i="195"/>
  <c r="R30" i="195"/>
  <c r="Q30" i="195"/>
  <c r="P30" i="195"/>
  <c r="O30" i="195"/>
  <c r="N30" i="195"/>
  <c r="M30" i="195"/>
  <c r="L30" i="195"/>
  <c r="K30" i="195"/>
  <c r="J30" i="195"/>
  <c r="I30" i="195"/>
  <c r="H30" i="195"/>
  <c r="G30" i="195"/>
  <c r="F30" i="195"/>
  <c r="E30" i="195"/>
  <c r="D30" i="195"/>
  <c r="P29" i="195"/>
  <c r="T28" i="195"/>
  <c r="P28" i="195"/>
  <c r="L28" i="195"/>
  <c r="H28" i="195"/>
  <c r="T27" i="195"/>
  <c r="P27" i="195"/>
  <c r="L27" i="195"/>
  <c r="H27" i="195"/>
  <c r="T26" i="195"/>
  <c r="P26" i="195"/>
  <c r="L26" i="195"/>
  <c r="H26" i="195"/>
  <c r="T25" i="195"/>
  <c r="P25" i="195"/>
  <c r="L25" i="195"/>
  <c r="H25" i="195"/>
  <c r="T24" i="195"/>
  <c r="P24" i="195"/>
  <c r="L24" i="195"/>
  <c r="H24" i="195"/>
  <c r="T23" i="195"/>
  <c r="P23" i="195"/>
  <c r="L23" i="195"/>
  <c r="H23" i="195"/>
  <c r="T22" i="195"/>
  <c r="P22" i="195"/>
  <c r="L22" i="195"/>
  <c r="H22" i="195"/>
  <c r="T21" i="195"/>
  <c r="P21" i="195"/>
  <c r="L21" i="195"/>
  <c r="H21" i="195"/>
  <c r="P13" i="195"/>
  <c r="O13" i="195"/>
  <c r="N13" i="195"/>
  <c r="M13" i="195"/>
  <c r="L13" i="195"/>
  <c r="K13" i="195"/>
  <c r="J13" i="195"/>
  <c r="I13" i="195"/>
  <c r="H13" i="195"/>
  <c r="G13" i="195"/>
  <c r="F13" i="195"/>
  <c r="L12" i="195"/>
  <c r="P11" i="195"/>
  <c r="L11" i="195"/>
  <c r="P10" i="195"/>
  <c r="L10" i="195"/>
  <c r="P9" i="195"/>
  <c r="L9" i="195"/>
  <c r="P8" i="195"/>
  <c r="L8" i="195"/>
  <c r="P7" i="195"/>
  <c r="L7" i="195"/>
  <c r="P6" i="195"/>
  <c r="L6" i="195"/>
  <c r="P5" i="195"/>
  <c r="L5" i="195"/>
  <c r="P4" i="195"/>
  <c r="L4" i="195"/>
  <c r="H78" i="250"/>
  <c r="F75" i="250"/>
  <c r="E75" i="250"/>
  <c r="D75" i="250"/>
  <c r="C75" i="250"/>
  <c r="B75" i="250"/>
  <c r="H74" i="250"/>
  <c r="G74" i="250"/>
  <c r="F74" i="250"/>
  <c r="E74" i="250"/>
  <c r="D74" i="250"/>
  <c r="C74" i="250"/>
  <c r="B74" i="250"/>
  <c r="G66" i="250"/>
  <c r="F66" i="250"/>
  <c r="E66" i="250"/>
  <c r="D66" i="250"/>
  <c r="C66" i="250"/>
  <c r="B66" i="250"/>
  <c r="G65" i="250"/>
  <c r="F65" i="250"/>
  <c r="E65" i="250"/>
  <c r="D65" i="250"/>
  <c r="C65" i="250"/>
  <c r="B65" i="250"/>
  <c r="G63" i="250"/>
  <c r="F63" i="250"/>
  <c r="E63" i="250"/>
  <c r="D63" i="250"/>
  <c r="C63" i="250"/>
  <c r="B63" i="250"/>
  <c r="G51" i="250"/>
  <c r="F51" i="250"/>
  <c r="E51" i="250"/>
  <c r="D51" i="250"/>
  <c r="C51" i="250"/>
  <c r="B51" i="250"/>
  <c r="G50" i="250"/>
  <c r="F50" i="250"/>
  <c r="E50" i="250"/>
  <c r="D50" i="250"/>
  <c r="C50" i="250"/>
  <c r="B50" i="250"/>
  <c r="D39" i="250"/>
  <c r="C39" i="250"/>
  <c r="B39" i="250"/>
  <c r="D38" i="250"/>
  <c r="C38" i="250"/>
  <c r="B38" i="250"/>
  <c r="A34" i="250"/>
  <c r="A31" i="250"/>
  <c r="B29" i="250"/>
  <c r="G27" i="250"/>
  <c r="F27" i="250"/>
  <c r="E27" i="250"/>
  <c r="D27" i="250"/>
  <c r="C27" i="250"/>
  <c r="B27" i="250"/>
  <c r="F25" i="250"/>
  <c r="E25" i="250"/>
  <c r="D25" i="250"/>
  <c r="C25" i="250"/>
  <c r="B25" i="250"/>
  <c r="F20" i="250"/>
  <c r="E20" i="250"/>
  <c r="D20" i="250"/>
  <c r="C20" i="250"/>
  <c r="B20" i="250"/>
  <c r="F40" i="177"/>
  <c r="E40" i="177"/>
  <c r="F39" i="177"/>
  <c r="E39" i="177"/>
  <c r="F38" i="177"/>
  <c r="E38" i="177"/>
  <c r="E37" i="177"/>
  <c r="F36" i="177"/>
  <c r="E36" i="177"/>
  <c r="D36" i="177"/>
  <c r="C36" i="177"/>
  <c r="F35" i="177"/>
  <c r="D35" i="177"/>
  <c r="C35" i="177"/>
  <c r="J34" i="177"/>
  <c r="F34" i="177"/>
  <c r="E34" i="177"/>
  <c r="J33" i="177"/>
  <c r="F33" i="177"/>
  <c r="E33" i="177"/>
  <c r="J32" i="177"/>
  <c r="F32" i="177"/>
  <c r="E32" i="177"/>
  <c r="J31" i="177"/>
  <c r="F31" i="177"/>
  <c r="E31" i="177"/>
  <c r="J30" i="177"/>
  <c r="F30" i="177"/>
  <c r="E30" i="177"/>
  <c r="J29" i="177"/>
  <c r="F29" i="177"/>
  <c r="E29" i="177"/>
  <c r="J28" i="177"/>
  <c r="F28" i="177"/>
  <c r="E28" i="177"/>
  <c r="J27" i="177"/>
  <c r="F27" i="177"/>
  <c r="E27" i="177"/>
  <c r="J26" i="177"/>
  <c r="F26" i="177"/>
  <c r="E26" i="177"/>
  <c r="J25" i="177"/>
  <c r="F25" i="177"/>
  <c r="E25" i="177"/>
  <c r="J24" i="177"/>
  <c r="F24" i="177"/>
  <c r="E24" i="177"/>
  <c r="J23" i="177"/>
  <c r="F23" i="177"/>
  <c r="E23" i="177"/>
  <c r="J22" i="177"/>
  <c r="F22" i="177"/>
  <c r="E22" i="177"/>
  <c r="J21" i="177"/>
  <c r="F21" i="177"/>
  <c r="E21" i="177"/>
  <c r="J20" i="177"/>
  <c r="F20" i="177"/>
  <c r="E20" i="177"/>
  <c r="J19" i="177"/>
  <c r="F19" i="177"/>
  <c r="E19" i="177"/>
  <c r="J18" i="177"/>
  <c r="F18" i="177"/>
  <c r="E18" i="177"/>
  <c r="J17" i="177"/>
  <c r="F17" i="177"/>
  <c r="E17" i="177"/>
  <c r="J16" i="177"/>
  <c r="F16" i="177"/>
  <c r="E16" i="177"/>
  <c r="J15" i="177"/>
  <c r="F15" i="177"/>
  <c r="E15" i="177"/>
  <c r="J14" i="177"/>
  <c r="F14" i="177"/>
  <c r="E14" i="177"/>
  <c r="J13" i="177"/>
  <c r="F13" i="177"/>
  <c r="E13" i="177"/>
  <c r="J12" i="177"/>
  <c r="F12" i="177"/>
  <c r="E12" i="177"/>
  <c r="J11" i="177"/>
  <c r="F11" i="177"/>
  <c r="E11" i="177"/>
  <c r="J10" i="177"/>
  <c r="F10" i="177"/>
  <c r="E10" i="177"/>
  <c r="J9" i="177"/>
  <c r="F9" i="177"/>
  <c r="E9" i="177"/>
  <c r="J8" i="177"/>
  <c r="F8" i="177"/>
  <c r="E8" i="177"/>
  <c r="J7" i="177"/>
  <c r="F7" i="177"/>
  <c r="E7" i="177"/>
  <c r="J6" i="177"/>
  <c r="F6" i="177"/>
  <c r="E6" i="177"/>
  <c r="F5" i="177"/>
  <c r="E5" i="177"/>
  <c r="G35" i="176"/>
  <c r="F35" i="176"/>
  <c r="E35" i="176"/>
  <c r="D35" i="176"/>
  <c r="C35" i="176"/>
  <c r="G34" i="176"/>
  <c r="F34" i="176"/>
  <c r="E34" i="176"/>
  <c r="D34" i="176"/>
  <c r="C34" i="176"/>
  <c r="G35" i="175"/>
  <c r="F35" i="175"/>
  <c r="E35" i="175"/>
  <c r="D35" i="175"/>
  <c r="C35" i="175"/>
  <c r="H34" i="175"/>
  <c r="G34" i="175"/>
  <c r="F34" i="175"/>
  <c r="E34" i="175"/>
  <c r="D34" i="175"/>
  <c r="C34" i="175"/>
  <c r="G35" i="172"/>
  <c r="F35" i="172"/>
  <c r="E35" i="172"/>
  <c r="D35" i="172"/>
  <c r="C35" i="172"/>
  <c r="G34" i="172"/>
  <c r="F34" i="172"/>
  <c r="E34" i="172"/>
  <c r="D34" i="172"/>
  <c r="C34" i="172"/>
  <c r="H51" i="238"/>
  <c r="E51" i="238"/>
  <c r="H50" i="238"/>
  <c r="H49" i="238"/>
  <c r="H48" i="238"/>
  <c r="H47" i="238"/>
  <c r="H46" i="238"/>
  <c r="H45" i="238"/>
  <c r="H43" i="238"/>
  <c r="E43" i="238"/>
  <c r="H42" i="238"/>
  <c r="H41" i="238"/>
  <c r="H40" i="238"/>
  <c r="H39" i="238"/>
  <c r="H38" i="238"/>
  <c r="H37" i="238"/>
  <c r="H35" i="238"/>
  <c r="E35" i="238"/>
  <c r="H34" i="238"/>
  <c r="H33" i="238"/>
  <c r="H32" i="238"/>
  <c r="H31" i="238"/>
  <c r="H30" i="238"/>
  <c r="H29" i="238"/>
  <c r="H27" i="238"/>
  <c r="E27" i="238"/>
  <c r="H26" i="238"/>
  <c r="H25" i="238"/>
  <c r="H24" i="238"/>
  <c r="H23" i="238"/>
  <c r="K22" i="238"/>
  <c r="J22" i="238"/>
  <c r="H22" i="238"/>
  <c r="H21" i="238"/>
  <c r="H19" i="238"/>
  <c r="E19" i="238"/>
  <c r="H18" i="238"/>
  <c r="H17" i="238"/>
  <c r="H16" i="238"/>
  <c r="H15" i="238"/>
  <c r="H14" i="238"/>
  <c r="H13" i="238"/>
  <c r="H11" i="238"/>
  <c r="E11" i="238"/>
  <c r="H10" i="238"/>
  <c r="H9" i="238"/>
  <c r="H8" i="238"/>
  <c r="H7" i="238"/>
  <c r="H6" i="238"/>
  <c r="H5" i="238"/>
  <c r="J50" i="5"/>
  <c r="I50" i="5"/>
  <c r="H50" i="5"/>
  <c r="G50" i="5"/>
  <c r="F50" i="5"/>
  <c r="E50" i="5"/>
  <c r="K49" i="5"/>
  <c r="J49" i="5"/>
  <c r="I49" i="5"/>
  <c r="H49" i="5"/>
  <c r="G49" i="5"/>
  <c r="F49" i="5"/>
  <c r="E49" i="5"/>
  <c r="K47" i="5"/>
  <c r="J47" i="5"/>
  <c r="I47" i="5"/>
  <c r="H47" i="5"/>
  <c r="G47" i="5"/>
  <c r="F47" i="5"/>
  <c r="E47" i="5"/>
  <c r="J45" i="5"/>
  <c r="I45" i="5"/>
  <c r="H45" i="5"/>
  <c r="G45" i="5"/>
  <c r="F45" i="5"/>
  <c r="E45" i="5"/>
  <c r="K44" i="5"/>
  <c r="J44" i="5"/>
  <c r="I44" i="5"/>
  <c r="H44" i="5"/>
  <c r="G44" i="5"/>
  <c r="F44" i="5"/>
  <c r="E44" i="5"/>
  <c r="J42" i="5"/>
  <c r="I42" i="5"/>
  <c r="H42" i="5"/>
  <c r="G42" i="5"/>
  <c r="F42" i="5"/>
  <c r="E42" i="5"/>
  <c r="K41" i="5"/>
  <c r="J41" i="5"/>
  <c r="I41" i="5"/>
  <c r="H41" i="5"/>
  <c r="G41" i="5"/>
  <c r="F41" i="5"/>
  <c r="E41" i="5"/>
  <c r="J39" i="5"/>
  <c r="I39" i="5"/>
  <c r="H39" i="5"/>
  <c r="G39" i="5"/>
  <c r="F39" i="5"/>
  <c r="E39" i="5"/>
  <c r="K38" i="5"/>
  <c r="J38" i="5"/>
  <c r="I38" i="5"/>
  <c r="H38" i="5"/>
  <c r="G38" i="5"/>
  <c r="F38" i="5"/>
  <c r="E38" i="5"/>
  <c r="J36" i="5"/>
  <c r="I36" i="5"/>
  <c r="H36" i="5"/>
  <c r="G36" i="5"/>
  <c r="F36" i="5"/>
  <c r="E36" i="5"/>
  <c r="K35" i="5"/>
  <c r="J35" i="5"/>
  <c r="I35" i="5"/>
  <c r="H35" i="5"/>
  <c r="G35" i="5"/>
  <c r="F35" i="5"/>
  <c r="E35" i="5"/>
  <c r="J33" i="5"/>
  <c r="I33" i="5"/>
  <c r="H33" i="5"/>
  <c r="G33" i="5"/>
  <c r="F33" i="5"/>
  <c r="E33" i="5"/>
  <c r="K32" i="5"/>
  <c r="J32" i="5"/>
  <c r="I32" i="5"/>
  <c r="H32" i="5"/>
  <c r="G32" i="5"/>
  <c r="F32" i="5"/>
  <c r="E32" i="5"/>
  <c r="J30" i="5"/>
  <c r="I30" i="5"/>
  <c r="H30" i="5"/>
  <c r="G30" i="5"/>
  <c r="F30" i="5"/>
  <c r="E30" i="5"/>
  <c r="K29" i="5"/>
  <c r="J29" i="5"/>
  <c r="I29" i="5"/>
  <c r="H29" i="5"/>
  <c r="G29" i="5"/>
  <c r="F29" i="5"/>
  <c r="E29" i="5"/>
  <c r="J27" i="5"/>
  <c r="I27" i="5"/>
  <c r="H27" i="5"/>
  <c r="G27" i="5"/>
  <c r="F27" i="5"/>
  <c r="E27" i="5"/>
  <c r="K26" i="5"/>
  <c r="J26" i="5"/>
  <c r="I26" i="5"/>
  <c r="H26" i="5"/>
  <c r="G26" i="5"/>
  <c r="F26" i="5"/>
  <c r="E26" i="5"/>
  <c r="J24" i="5"/>
  <c r="I24" i="5"/>
  <c r="H24" i="5"/>
  <c r="G24" i="5"/>
  <c r="F24" i="5"/>
  <c r="E24" i="5"/>
  <c r="K23" i="5"/>
  <c r="J23" i="5"/>
  <c r="I23" i="5"/>
  <c r="H23" i="5"/>
  <c r="G23" i="5"/>
  <c r="F23" i="5"/>
  <c r="E23" i="5"/>
  <c r="J21" i="5"/>
  <c r="I21" i="5"/>
  <c r="H21" i="5"/>
  <c r="G21" i="5"/>
  <c r="F21" i="5"/>
  <c r="E21" i="5"/>
  <c r="K20" i="5"/>
  <c r="J20" i="5"/>
  <c r="I20" i="5"/>
  <c r="H20" i="5"/>
  <c r="G20" i="5"/>
  <c r="F20" i="5"/>
  <c r="E20" i="5"/>
  <c r="J18" i="5"/>
  <c r="I18" i="5"/>
  <c r="H18" i="5"/>
  <c r="G18" i="5"/>
  <c r="F18" i="5"/>
  <c r="E18" i="5"/>
  <c r="K17" i="5"/>
  <c r="J17" i="5"/>
  <c r="I17" i="5"/>
  <c r="H17" i="5"/>
  <c r="G17" i="5"/>
  <c r="F17" i="5"/>
  <c r="E17" i="5"/>
  <c r="J15" i="5"/>
  <c r="I15" i="5"/>
  <c r="H15" i="5"/>
  <c r="G15" i="5"/>
  <c r="F15" i="5"/>
  <c r="E15" i="5"/>
  <c r="K14" i="5"/>
  <c r="J14" i="5"/>
  <c r="I14" i="5"/>
  <c r="H14" i="5"/>
  <c r="G14" i="5"/>
  <c r="F14" i="5"/>
  <c r="E14" i="5"/>
  <c r="J12" i="5"/>
  <c r="I12" i="5"/>
  <c r="H12" i="5"/>
  <c r="G12" i="5"/>
  <c r="F12" i="5"/>
  <c r="E12" i="5"/>
  <c r="K11" i="5"/>
  <c r="J11" i="5"/>
  <c r="I11" i="5"/>
  <c r="H11" i="5"/>
  <c r="G11" i="5"/>
  <c r="F11" i="5"/>
  <c r="E11" i="5"/>
  <c r="J9" i="5"/>
  <c r="I9" i="5"/>
  <c r="H9" i="5"/>
  <c r="G9" i="5"/>
  <c r="F9" i="5"/>
  <c r="E9" i="5"/>
  <c r="K8" i="5"/>
  <c r="J8" i="5"/>
  <c r="I8" i="5"/>
  <c r="H8" i="5"/>
  <c r="G8" i="5"/>
  <c r="F8" i="5"/>
  <c r="E8" i="5"/>
  <c r="J6" i="5"/>
  <c r="I6" i="5"/>
  <c r="H6" i="5"/>
  <c r="G6" i="5"/>
  <c r="F6" i="5"/>
  <c r="E6" i="5"/>
  <c r="K5" i="5"/>
  <c r="J5" i="5"/>
  <c r="I5" i="5"/>
  <c r="H5" i="5"/>
  <c r="G5" i="5"/>
  <c r="F5" i="5"/>
  <c r="E5" i="5"/>
  <c r="I55" i="249"/>
  <c r="H55" i="249"/>
  <c r="G55" i="249"/>
  <c r="F55" i="249"/>
  <c r="E55" i="249"/>
  <c r="Z46" i="249"/>
  <c r="V46" i="249"/>
  <c r="U46" i="249"/>
  <c r="T46" i="249"/>
  <c r="S46" i="249"/>
  <c r="R46" i="249"/>
  <c r="Q46" i="249"/>
  <c r="P46" i="249"/>
  <c r="O46" i="249"/>
  <c r="N46" i="249"/>
  <c r="M46" i="249"/>
  <c r="L46" i="249"/>
  <c r="K46" i="249"/>
  <c r="J46" i="249"/>
  <c r="I46" i="249"/>
  <c r="H46" i="249"/>
  <c r="G46" i="249"/>
  <c r="F46" i="249"/>
  <c r="E46" i="249"/>
  <c r="V45" i="249"/>
  <c r="U45" i="249"/>
  <c r="T45" i="249"/>
  <c r="S45" i="249"/>
  <c r="R45" i="249"/>
  <c r="Q45" i="249"/>
  <c r="P45" i="249"/>
  <c r="O45" i="249"/>
  <c r="N45" i="249"/>
  <c r="M45" i="249"/>
  <c r="L45" i="249"/>
  <c r="K45" i="249"/>
  <c r="J45" i="249"/>
  <c r="I45" i="249"/>
  <c r="H45" i="249"/>
  <c r="G45" i="249"/>
  <c r="F45" i="249"/>
  <c r="E45" i="249"/>
  <c r="F43" i="249"/>
  <c r="E43" i="249"/>
  <c r="Q26" i="249"/>
  <c r="H26" i="249"/>
  <c r="S24" i="249"/>
  <c r="R24" i="249"/>
  <c r="J16" i="249"/>
  <c r="J14" i="249"/>
  <c r="J13" i="249"/>
  <c r="J12" i="249"/>
  <c r="J11" i="249"/>
  <c r="Q10" i="249"/>
  <c r="J10" i="249"/>
  <c r="H10" i="249"/>
  <c r="G10" i="249"/>
  <c r="J9" i="249"/>
  <c r="J8" i="249"/>
  <c r="I53" i="225"/>
  <c r="H53" i="225"/>
  <c r="G53" i="225"/>
  <c r="F53" i="225"/>
  <c r="E53" i="225"/>
  <c r="AA44" i="225"/>
  <c r="G44" i="225"/>
  <c r="F44" i="225"/>
  <c r="E44" i="225"/>
  <c r="G43" i="225"/>
  <c r="F43" i="225"/>
  <c r="E43" i="225"/>
  <c r="X41" i="225"/>
  <c r="U41" i="225"/>
  <c r="I41" i="225"/>
  <c r="H41" i="225"/>
  <c r="G41" i="225"/>
  <c r="F41" i="225"/>
  <c r="E41" i="225"/>
  <c r="Q26" i="225"/>
  <c r="H26" i="225"/>
  <c r="S25" i="225"/>
  <c r="R25" i="225"/>
  <c r="J18" i="225"/>
  <c r="X17" i="225"/>
  <c r="V17" i="225"/>
  <c r="U17" i="225"/>
  <c r="Q17" i="225"/>
  <c r="J17" i="225"/>
  <c r="I17" i="225"/>
  <c r="H17" i="225"/>
  <c r="G17" i="225"/>
  <c r="E17" i="225"/>
  <c r="J16" i="225"/>
  <c r="J15" i="225"/>
  <c r="J14" i="225"/>
  <c r="J11" i="225"/>
  <c r="Q10" i="225"/>
  <c r="J10" i="225"/>
  <c r="H10" i="225"/>
  <c r="J8" i="225"/>
  <c r="I25" i="236"/>
  <c r="H25" i="236"/>
  <c r="G25" i="236"/>
  <c r="F25" i="236"/>
  <c r="E25" i="236"/>
  <c r="AA16" i="236"/>
  <c r="G16" i="236"/>
  <c r="F16" i="236"/>
  <c r="E16" i="236"/>
  <c r="G15" i="236"/>
  <c r="F15" i="236"/>
  <c r="E15" i="236"/>
  <c r="X13" i="236"/>
  <c r="U13" i="236"/>
  <c r="I13" i="236"/>
  <c r="H13" i="236"/>
  <c r="G13" i="236"/>
  <c r="F13" i="236"/>
  <c r="E13" i="236"/>
  <c r="I15" i="204" l="1"/>
  <c r="I26" i="206"/>
  <c r="I17" i="205"/>
  <c r="I16" i="206"/>
  <c r="I34" i="205"/>
  <c r="I32" i="204"/>
  <c r="I51" i="205"/>
  <c r="I25" i="204"/>
  <c r="I27" i="205"/>
  <c r="I40" i="204"/>
  <c r="S47" i="203"/>
  <c r="T47" i="203" s="1"/>
  <c r="S6" i="203"/>
  <c r="T6" i="203" s="1"/>
  <c r="T45" i="203"/>
  <c r="AE16" i="233"/>
  <c r="C96" i="274"/>
  <c r="D91" i="274" s="1"/>
  <c r="D94" i="274"/>
  <c r="D95" i="274"/>
  <c r="D96" i="274" l="1"/>
  <c r="H57" i="202" l="1"/>
  <c r="H58" i="202"/>
  <c r="D57" i="202"/>
  <c r="D58" i="202"/>
  <c r="N58" i="202"/>
  <c r="N57" i="202"/>
  <c r="F57" i="202"/>
  <c r="F58" i="202"/>
  <c r="L57" i="202"/>
  <c r="L58" i="202"/>
  <c r="X44" i="203"/>
  <c r="AC43" i="203"/>
  <c r="C43" i="203" s="1"/>
  <c r="D43" i="203" s="1"/>
  <c r="AH42" i="203"/>
  <c r="K42" i="203" s="1"/>
  <c r="L42" i="203" s="1"/>
  <c r="Y39" i="203"/>
  <c r="AD38" i="203"/>
  <c r="AA36" i="203"/>
  <c r="AF35" i="203"/>
  <c r="G35" i="203" s="1"/>
  <c r="H35" i="203" s="1"/>
  <c r="W32" i="203"/>
  <c r="O32" i="203" s="1"/>
  <c r="P32" i="203" s="1"/>
  <c r="AB31" i="203"/>
  <c r="Y29" i="203"/>
  <c r="AD28" i="203"/>
  <c r="AI27" i="203"/>
  <c r="M27" i="203" s="1"/>
  <c r="N27" i="203" s="1"/>
  <c r="Z24" i="203"/>
  <c r="AE23" i="203"/>
  <c r="E23" i="203" s="1"/>
  <c r="F23" i="203" s="1"/>
  <c r="AG20" i="203"/>
  <c r="I20" i="203" s="1"/>
  <c r="J20" i="203" s="1"/>
  <c r="X17" i="203"/>
  <c r="AC16" i="203"/>
  <c r="C16" i="203" s="1"/>
  <c r="Z14" i="203"/>
  <c r="AE13" i="203"/>
  <c r="E13" i="203" s="1"/>
  <c r="F13" i="203" s="1"/>
  <c r="AA9" i="203"/>
  <c r="AF8" i="203"/>
  <c r="G8" i="203" s="1"/>
  <c r="H8" i="203" s="1"/>
  <c r="W5" i="203"/>
  <c r="AE11" i="203"/>
  <c r="E11" i="203" s="1"/>
  <c r="F11" i="203" s="1"/>
  <c r="W44" i="203"/>
  <c r="O44" i="203" s="1"/>
  <c r="P44" i="203" s="1"/>
  <c r="AB43" i="203"/>
  <c r="AG42" i="203"/>
  <c r="I42" i="203" s="1"/>
  <c r="J42" i="203" s="1"/>
  <c r="X39" i="203"/>
  <c r="AC38" i="203"/>
  <c r="C38" i="203" s="1"/>
  <c r="Z36" i="203"/>
  <c r="AE35" i="203"/>
  <c r="E35" i="203" s="1"/>
  <c r="F35" i="203" s="1"/>
  <c r="AA31" i="203"/>
  <c r="X29" i="203"/>
  <c r="AC28" i="203"/>
  <c r="C28" i="203" s="1"/>
  <c r="D28" i="203" s="1"/>
  <c r="AH27" i="203"/>
  <c r="K27" i="203" s="1"/>
  <c r="L27" i="203" s="1"/>
  <c r="Y24" i="203"/>
  <c r="AD23" i="203"/>
  <c r="AI22" i="203"/>
  <c r="M22" i="203" s="1"/>
  <c r="AF20" i="203"/>
  <c r="G20" i="203" s="1"/>
  <c r="H20" i="203" s="1"/>
  <c r="W17" i="203"/>
  <c r="O17" i="203" s="1"/>
  <c r="P17" i="203" s="1"/>
  <c r="AB16" i="203"/>
  <c r="Y14" i="203"/>
  <c r="AD13" i="203"/>
  <c r="AI12" i="203"/>
  <c r="M12" i="203" s="1"/>
  <c r="N12" i="203" s="1"/>
  <c r="Z9" i="203"/>
  <c r="AE8" i="203"/>
  <c r="E8" i="203" s="1"/>
  <c r="F8" i="203" s="1"/>
  <c r="AI7" i="203"/>
  <c r="M7" i="203" s="1"/>
  <c r="N7" i="203" s="1"/>
  <c r="W20" i="203"/>
  <c r="O20" i="203" s="1"/>
  <c r="P20" i="203" s="1"/>
  <c r="AA43" i="203"/>
  <c r="AF42" i="203"/>
  <c r="G42" i="203" s="1"/>
  <c r="H42" i="203" s="1"/>
  <c r="W39" i="203"/>
  <c r="O39" i="203" s="1"/>
  <c r="P39" i="203" s="1"/>
  <c r="AB38" i="203"/>
  <c r="Y36" i="203"/>
  <c r="AD35" i="203"/>
  <c r="AI34" i="203"/>
  <c r="M34" i="203" s="1"/>
  <c r="N34" i="203" s="1"/>
  <c r="Z31" i="203"/>
  <c r="W29" i="203"/>
  <c r="O29" i="203" s="1"/>
  <c r="P29" i="203" s="1"/>
  <c r="AB28" i="203"/>
  <c r="AG27" i="203"/>
  <c r="I27" i="203" s="1"/>
  <c r="J27" i="203" s="1"/>
  <c r="X24" i="203"/>
  <c r="AC23" i="203"/>
  <c r="C23" i="203" s="1"/>
  <c r="D23" i="203" s="1"/>
  <c r="AH22" i="203"/>
  <c r="K22" i="203" s="1"/>
  <c r="AE20" i="203"/>
  <c r="E20" i="203" s="1"/>
  <c r="F20" i="203" s="1"/>
  <c r="AA16" i="203"/>
  <c r="X14" i="203"/>
  <c r="AC13" i="203"/>
  <c r="C13" i="203" s="1"/>
  <c r="D13" i="203" s="1"/>
  <c r="AH12" i="203"/>
  <c r="K12" i="203" s="1"/>
  <c r="L12" i="203" s="1"/>
  <c r="Y9" i="203"/>
  <c r="AD8" i="203"/>
  <c r="AI47" i="203"/>
  <c r="Z43" i="203"/>
  <c r="AE42" i="203"/>
  <c r="E42" i="203" s="1"/>
  <c r="F42" i="203" s="1"/>
  <c r="AA38" i="203"/>
  <c r="X36" i="203"/>
  <c r="AC35" i="203"/>
  <c r="C35" i="203" s="1"/>
  <c r="D35" i="203" s="1"/>
  <c r="AH34" i="203"/>
  <c r="K34" i="203" s="1"/>
  <c r="L34" i="203" s="1"/>
  <c r="Y31" i="203"/>
  <c r="AA28" i="203"/>
  <c r="AF27" i="203"/>
  <c r="G27" i="203" s="1"/>
  <c r="H27" i="203" s="1"/>
  <c r="W24" i="203"/>
  <c r="O24" i="203" s="1"/>
  <c r="P24" i="203" s="1"/>
  <c r="AB23" i="203"/>
  <c r="AG22" i="203"/>
  <c r="I22" i="203" s="1"/>
  <c r="AD20" i="203"/>
  <c r="AI19" i="203"/>
  <c r="M19" i="203" s="1"/>
  <c r="N19" i="203" s="1"/>
  <c r="Z16" i="203"/>
  <c r="W14" i="203"/>
  <c r="O14" i="203" s="1"/>
  <c r="P14" i="203" s="1"/>
  <c r="AB13" i="203"/>
  <c r="AG12" i="203"/>
  <c r="I12" i="203" s="1"/>
  <c r="J12" i="203" s="1"/>
  <c r="X9" i="203"/>
  <c r="AC8" i="203"/>
  <c r="C8" i="203" s="1"/>
  <c r="D8" i="203" s="1"/>
  <c r="AH7" i="203"/>
  <c r="K7" i="203" s="1"/>
  <c r="L7" i="203" s="1"/>
  <c r="Z12" i="203"/>
  <c r="AH47" i="203"/>
  <c r="Y43" i="203"/>
  <c r="AD42" i="203"/>
  <c r="AI41" i="203"/>
  <c r="M41" i="203" s="1"/>
  <c r="N41" i="203" s="1"/>
  <c r="Z38" i="203"/>
  <c r="W36" i="203"/>
  <c r="O36" i="203" s="1"/>
  <c r="P36" i="203" s="1"/>
  <c r="AB35" i="203"/>
  <c r="AG34" i="203"/>
  <c r="I34" i="203" s="1"/>
  <c r="J34" i="203" s="1"/>
  <c r="X31" i="203"/>
  <c r="Z28" i="203"/>
  <c r="AE27" i="203"/>
  <c r="E27" i="203" s="1"/>
  <c r="F27" i="203" s="1"/>
  <c r="AA23" i="203"/>
  <c r="AF22" i="203"/>
  <c r="G22" i="203" s="1"/>
  <c r="AC20" i="203"/>
  <c r="C20" i="203" s="1"/>
  <c r="D20" i="203" s="1"/>
  <c r="AH19" i="203"/>
  <c r="K19" i="203" s="1"/>
  <c r="L19" i="203" s="1"/>
  <c r="Y16" i="203"/>
  <c r="AA13" i="203"/>
  <c r="AF12" i="203"/>
  <c r="G12" i="203" s="1"/>
  <c r="H12" i="203" s="1"/>
  <c r="W9" i="203"/>
  <c r="O9" i="203" s="1"/>
  <c r="P9" i="203" s="1"/>
  <c r="AB8" i="203"/>
  <c r="AG7" i="203"/>
  <c r="I7" i="203" s="1"/>
  <c r="J7" i="203" s="1"/>
  <c r="AG47" i="203"/>
  <c r="X43" i="203"/>
  <c r="AC42" i="203"/>
  <c r="C42" i="203" s="1"/>
  <c r="D42" i="203" s="1"/>
  <c r="AH41" i="203"/>
  <c r="K41" i="203" s="1"/>
  <c r="L41" i="203" s="1"/>
  <c r="Y38" i="203"/>
  <c r="AA35" i="203"/>
  <c r="AF34" i="203"/>
  <c r="G34" i="203" s="1"/>
  <c r="H34" i="203" s="1"/>
  <c r="W31" i="203"/>
  <c r="O31" i="203" s="1"/>
  <c r="Y28" i="203"/>
  <c r="AD27" i="203"/>
  <c r="AI26" i="203"/>
  <c r="M26" i="203" s="1"/>
  <c r="N26" i="203" s="1"/>
  <c r="Z23" i="203"/>
  <c r="AE22" i="203"/>
  <c r="E22" i="203" s="1"/>
  <c r="AB20" i="203"/>
  <c r="AG19" i="203"/>
  <c r="I19" i="203" s="1"/>
  <c r="J19" i="203" s="1"/>
  <c r="X16" i="203"/>
  <c r="Z13" i="203"/>
  <c r="AE12" i="203"/>
  <c r="E12" i="203" s="1"/>
  <c r="F12" i="203" s="1"/>
  <c r="AA8" i="203"/>
  <c r="AF7" i="203"/>
  <c r="G7" i="203" s="1"/>
  <c r="H7" i="203" s="1"/>
  <c r="AF47" i="203"/>
  <c r="W43" i="203"/>
  <c r="O43" i="203" s="1"/>
  <c r="P43" i="203" s="1"/>
  <c r="AB42" i="203"/>
  <c r="AG41" i="203"/>
  <c r="I41" i="203" s="1"/>
  <c r="J41" i="203" s="1"/>
  <c r="X38" i="203"/>
  <c r="Z35" i="203"/>
  <c r="AE34" i="203"/>
  <c r="E34" i="203" s="1"/>
  <c r="F34" i="203" s="1"/>
  <c r="X28" i="203"/>
  <c r="AC27" i="203"/>
  <c r="C27" i="203" s="1"/>
  <c r="D27" i="203" s="1"/>
  <c r="AH26" i="203"/>
  <c r="K26" i="203" s="1"/>
  <c r="L26" i="203" s="1"/>
  <c r="Y23" i="203"/>
  <c r="AD22" i="203"/>
  <c r="AA20" i="203"/>
  <c r="AF19" i="203"/>
  <c r="G19" i="203" s="1"/>
  <c r="H19" i="203" s="1"/>
  <c r="W16" i="203"/>
  <c r="O16" i="203" s="1"/>
  <c r="Y13" i="203"/>
  <c r="AD12" i="203"/>
  <c r="AI11" i="203"/>
  <c r="M11" i="203" s="1"/>
  <c r="N11" i="203" s="1"/>
  <c r="Z8" i="203"/>
  <c r="AE7" i="203"/>
  <c r="E7" i="203" s="1"/>
  <c r="F7" i="203" s="1"/>
  <c r="AE47" i="203"/>
  <c r="AA42" i="203"/>
  <c r="AF41" i="203"/>
  <c r="G41" i="203" s="1"/>
  <c r="H41" i="203" s="1"/>
  <c r="W38" i="203"/>
  <c r="O38" i="203" s="1"/>
  <c r="Y35" i="203"/>
  <c r="AD34" i="203"/>
  <c r="AI33" i="203"/>
  <c r="M33" i="203" s="1"/>
  <c r="N33" i="203" s="1"/>
  <c r="W28" i="203"/>
  <c r="O28" i="203" s="1"/>
  <c r="P28" i="203" s="1"/>
  <c r="AB27" i="203"/>
  <c r="AG26" i="203"/>
  <c r="I26" i="203" s="1"/>
  <c r="J26" i="203" s="1"/>
  <c r="X23" i="203"/>
  <c r="AC22" i="203"/>
  <c r="C22" i="203" s="1"/>
  <c r="Z20" i="203"/>
  <c r="AE19" i="203"/>
  <c r="E19" i="203" s="1"/>
  <c r="F19" i="203" s="1"/>
  <c r="X13" i="203"/>
  <c r="AC12" i="203"/>
  <c r="C12" i="203" s="1"/>
  <c r="D12" i="203" s="1"/>
  <c r="AH11" i="203"/>
  <c r="K11" i="203" s="1"/>
  <c r="L11" i="203" s="1"/>
  <c r="Y8" i="203"/>
  <c r="AD7" i="203"/>
  <c r="AI6" i="203"/>
  <c r="M6" i="203" s="1"/>
  <c r="N6" i="203" s="1"/>
  <c r="AD47" i="203"/>
  <c r="Z42" i="203"/>
  <c r="AE41" i="203"/>
  <c r="E41" i="203" s="1"/>
  <c r="F41" i="203" s="1"/>
  <c r="X35" i="203"/>
  <c r="AC34" i="203"/>
  <c r="C34" i="203" s="1"/>
  <c r="D34" i="203" s="1"/>
  <c r="AH33" i="203"/>
  <c r="K33" i="203" s="1"/>
  <c r="L33" i="203" s="1"/>
  <c r="AA27" i="203"/>
  <c r="AF26" i="203"/>
  <c r="G26" i="203" s="1"/>
  <c r="H26" i="203" s="1"/>
  <c r="W23" i="203"/>
  <c r="O23" i="203" s="1"/>
  <c r="P23" i="203" s="1"/>
  <c r="AB22" i="203"/>
  <c r="Y20" i="203"/>
  <c r="AD19" i="203"/>
  <c r="AI18" i="203"/>
  <c r="M18" i="203" s="1"/>
  <c r="N18" i="203" s="1"/>
  <c r="W13" i="203"/>
  <c r="O13" i="203" s="1"/>
  <c r="P13" i="203" s="1"/>
  <c r="AB12" i="203"/>
  <c r="AG11" i="203"/>
  <c r="I11" i="203" s="1"/>
  <c r="J11" i="203" s="1"/>
  <c r="X8" i="203"/>
  <c r="AC7" i="203"/>
  <c r="C7" i="203" s="1"/>
  <c r="D7" i="203" s="1"/>
  <c r="AH6" i="203"/>
  <c r="K6" i="203" s="1"/>
  <c r="L6" i="203" s="1"/>
  <c r="AC47" i="203"/>
  <c r="Y42" i="203"/>
  <c r="AD41" i="203"/>
  <c r="AI40" i="203"/>
  <c r="M40" i="203" s="1"/>
  <c r="N40" i="203" s="1"/>
  <c r="W35" i="203"/>
  <c r="O35" i="203" s="1"/>
  <c r="P35" i="203" s="1"/>
  <c r="AB34" i="203"/>
  <c r="AG33" i="203"/>
  <c r="I33" i="203" s="1"/>
  <c r="J33" i="203" s="1"/>
  <c r="Z27" i="203"/>
  <c r="AE26" i="203"/>
  <c r="E26" i="203" s="1"/>
  <c r="F26" i="203" s="1"/>
  <c r="AA22" i="203"/>
  <c r="X20" i="203"/>
  <c r="AC19" i="203"/>
  <c r="C19" i="203" s="1"/>
  <c r="D19" i="203" s="1"/>
  <c r="AH18" i="203"/>
  <c r="K18" i="203" s="1"/>
  <c r="L18" i="203" s="1"/>
  <c r="AA12" i="203"/>
  <c r="AF11" i="203"/>
  <c r="G11" i="203" s="1"/>
  <c r="H11" i="203" s="1"/>
  <c r="W8" i="203"/>
  <c r="O8" i="203" s="1"/>
  <c r="P8" i="203" s="1"/>
  <c r="AB7" i="203"/>
  <c r="AG6" i="203"/>
  <c r="I6" i="203" s="1"/>
  <c r="J6" i="203" s="1"/>
  <c r="Z22" i="203"/>
  <c r="AA7" i="203"/>
  <c r="AB47" i="203"/>
  <c r="X42" i="203"/>
  <c r="AC41" i="203"/>
  <c r="C41" i="203" s="1"/>
  <c r="D41" i="203" s="1"/>
  <c r="AH40" i="203"/>
  <c r="K40" i="203" s="1"/>
  <c r="L40" i="203" s="1"/>
  <c r="AA34" i="203"/>
  <c r="AF33" i="203"/>
  <c r="G33" i="203" s="1"/>
  <c r="H33" i="203" s="1"/>
  <c r="Y27" i="203"/>
  <c r="AD26" i="203"/>
  <c r="AI25" i="203"/>
  <c r="M25" i="203" s="1"/>
  <c r="N25" i="203" s="1"/>
  <c r="AA47" i="203"/>
  <c r="W42" i="203"/>
  <c r="O42" i="203" s="1"/>
  <c r="P42" i="203" s="1"/>
  <c r="AB41" i="203"/>
  <c r="AG40" i="203"/>
  <c r="I40" i="203" s="1"/>
  <c r="J40" i="203" s="1"/>
  <c r="Z34" i="203"/>
  <c r="AE33" i="203"/>
  <c r="E33" i="203" s="1"/>
  <c r="F33" i="203" s="1"/>
  <c r="X27" i="203"/>
  <c r="AC26" i="203"/>
  <c r="C26" i="203" s="1"/>
  <c r="D26" i="203" s="1"/>
  <c r="AH25" i="203"/>
  <c r="K25" i="203" s="1"/>
  <c r="L25" i="203" s="1"/>
  <c r="Y22" i="203"/>
  <c r="AA19" i="203"/>
  <c r="AF18" i="203"/>
  <c r="G18" i="203" s="1"/>
  <c r="H18" i="203" s="1"/>
  <c r="Y12" i="203"/>
  <c r="AD11" i="203"/>
  <c r="AI10" i="203"/>
  <c r="M10" i="203" s="1"/>
  <c r="N10" i="203" s="1"/>
  <c r="Z7" i="203"/>
  <c r="AE6" i="203"/>
  <c r="E6" i="203" s="1"/>
  <c r="F6" i="203" s="1"/>
  <c r="Z47" i="203"/>
  <c r="AA41" i="203"/>
  <c r="AF40" i="203"/>
  <c r="G40" i="203" s="1"/>
  <c r="H40" i="203" s="1"/>
  <c r="Y34" i="203"/>
  <c r="AD33" i="203"/>
  <c r="AI32" i="203"/>
  <c r="M32" i="203" s="1"/>
  <c r="N32" i="203" s="1"/>
  <c r="W27" i="203"/>
  <c r="O27" i="203" s="1"/>
  <c r="P27" i="203" s="1"/>
  <c r="AB26" i="203"/>
  <c r="AG25" i="203"/>
  <c r="I25" i="203" s="1"/>
  <c r="J25" i="203" s="1"/>
  <c r="X22" i="203"/>
  <c r="Z19" i="203"/>
  <c r="AE18" i="203"/>
  <c r="E18" i="203" s="1"/>
  <c r="F18" i="203" s="1"/>
  <c r="X12" i="203"/>
  <c r="AC11" i="203"/>
  <c r="C11" i="203" s="1"/>
  <c r="D11" i="203" s="1"/>
  <c r="AH10" i="203"/>
  <c r="K10" i="203" s="1"/>
  <c r="L10" i="203" s="1"/>
  <c r="Y7" i="203"/>
  <c r="AD6" i="203"/>
  <c r="AI5" i="203"/>
  <c r="Y47" i="203"/>
  <c r="AI44" i="203"/>
  <c r="M44" i="203" s="1"/>
  <c r="N44" i="203" s="1"/>
  <c r="Z41" i="203"/>
  <c r="AE40" i="203"/>
  <c r="E40" i="203" s="1"/>
  <c r="F40" i="203" s="1"/>
  <c r="X34" i="203"/>
  <c r="AC33" i="203"/>
  <c r="C33" i="203" s="1"/>
  <c r="D33" i="203" s="1"/>
  <c r="AH32" i="203"/>
  <c r="K32" i="203" s="1"/>
  <c r="L32" i="203" s="1"/>
  <c r="AA26" i="203"/>
  <c r="AF25" i="203"/>
  <c r="G25" i="203" s="1"/>
  <c r="H25" i="203" s="1"/>
  <c r="W22" i="203"/>
  <c r="O22" i="203" s="1"/>
  <c r="Y19" i="203"/>
  <c r="AD18" i="203"/>
  <c r="AI17" i="203"/>
  <c r="M17" i="203" s="1"/>
  <c r="N17" i="203" s="1"/>
  <c r="W12" i="203"/>
  <c r="O12" i="203" s="1"/>
  <c r="P12" i="203" s="1"/>
  <c r="AB11" i="203"/>
  <c r="AG10" i="203"/>
  <c r="I10" i="203" s="1"/>
  <c r="J10" i="203" s="1"/>
  <c r="X7" i="203"/>
  <c r="AC6" i="203"/>
  <c r="C6" i="203" s="1"/>
  <c r="D6" i="203" s="1"/>
  <c r="AH5" i="203"/>
  <c r="X47" i="203"/>
  <c r="AH44" i="203"/>
  <c r="Y41" i="203"/>
  <c r="AD40" i="203"/>
  <c r="AI39" i="203"/>
  <c r="M39" i="203" s="1"/>
  <c r="N39" i="203" s="1"/>
  <c r="W34" i="203"/>
  <c r="O34" i="203" s="1"/>
  <c r="P34" i="203" s="1"/>
  <c r="AB33" i="203"/>
  <c r="AG32" i="203"/>
  <c r="I32" i="203" s="1"/>
  <c r="J32" i="203" s="1"/>
  <c r="AI29" i="203"/>
  <c r="M29" i="203" s="1"/>
  <c r="N29" i="203" s="1"/>
  <c r="Z26" i="203"/>
  <c r="AE25" i="203"/>
  <c r="E25" i="203" s="1"/>
  <c r="F25" i="203" s="1"/>
  <c r="X19" i="203"/>
  <c r="AC18" i="203"/>
  <c r="C18" i="203" s="1"/>
  <c r="D18" i="203" s="1"/>
  <c r="AH17" i="203"/>
  <c r="K17" i="203" s="1"/>
  <c r="L17" i="203" s="1"/>
  <c r="AA11" i="203"/>
  <c r="AF10" i="203"/>
  <c r="G10" i="203" s="1"/>
  <c r="H10" i="203" s="1"/>
  <c r="W7" i="203"/>
  <c r="O7" i="203" s="1"/>
  <c r="P7" i="203" s="1"/>
  <c r="AB6" i="203"/>
  <c r="AG5" i="203"/>
  <c r="W47" i="203"/>
  <c r="AG44" i="203"/>
  <c r="X41" i="203"/>
  <c r="AC40" i="203"/>
  <c r="C40" i="203" s="1"/>
  <c r="D40" i="203" s="1"/>
  <c r="AH39" i="203"/>
  <c r="K39" i="203" s="1"/>
  <c r="L39" i="203" s="1"/>
  <c r="AA33" i="203"/>
  <c r="AF32" i="203"/>
  <c r="G32" i="203" s="1"/>
  <c r="H32" i="203" s="1"/>
  <c r="AH29" i="203"/>
  <c r="K29" i="203" s="1"/>
  <c r="L29" i="203" s="1"/>
  <c r="Y26" i="203"/>
  <c r="AD25" i="203"/>
  <c r="AI24" i="203"/>
  <c r="M24" i="203" s="1"/>
  <c r="N24" i="203" s="1"/>
  <c r="W19" i="203"/>
  <c r="O19" i="203" s="1"/>
  <c r="P19" i="203" s="1"/>
  <c r="AB18" i="203"/>
  <c r="AG17" i="203"/>
  <c r="I17" i="203" s="1"/>
  <c r="J17" i="203" s="1"/>
  <c r="AI14" i="203"/>
  <c r="M14" i="203" s="1"/>
  <c r="N14" i="203" s="1"/>
  <c r="Z11" i="203"/>
  <c r="AE10" i="203"/>
  <c r="E10" i="203" s="1"/>
  <c r="F10" i="203" s="1"/>
  <c r="AA6" i="203"/>
  <c r="AF5" i="203"/>
  <c r="AF44" i="203"/>
  <c r="G44" i="203" s="1"/>
  <c r="H44" i="203" s="1"/>
  <c r="W41" i="203"/>
  <c r="O41" i="203" s="1"/>
  <c r="P41" i="203" s="1"/>
  <c r="AB40" i="203"/>
  <c r="AG39" i="203"/>
  <c r="I39" i="203" s="1"/>
  <c r="J39" i="203" s="1"/>
  <c r="AI36" i="203"/>
  <c r="M36" i="203" s="1"/>
  <c r="N36" i="203" s="1"/>
  <c r="Z33" i="203"/>
  <c r="AE32" i="203"/>
  <c r="E32" i="203" s="1"/>
  <c r="F32" i="203" s="1"/>
  <c r="AG29" i="203"/>
  <c r="I29" i="203" s="1"/>
  <c r="J29" i="203" s="1"/>
  <c r="X26" i="203"/>
  <c r="AC25" i="203"/>
  <c r="C25" i="203" s="1"/>
  <c r="D25" i="203" s="1"/>
  <c r="AH24" i="203"/>
  <c r="K24" i="203" s="1"/>
  <c r="L24" i="203" s="1"/>
  <c r="AA18" i="203"/>
  <c r="AF17" i="203"/>
  <c r="G17" i="203" s="1"/>
  <c r="H17" i="203" s="1"/>
  <c r="AH14" i="203"/>
  <c r="K14" i="203" s="1"/>
  <c r="L14" i="203" s="1"/>
  <c r="Y11" i="203"/>
  <c r="AD10" i="203"/>
  <c r="AI9" i="203"/>
  <c r="M9" i="203" s="1"/>
  <c r="N9" i="203" s="1"/>
  <c r="Z6" i="203"/>
  <c r="AE5" i="203"/>
  <c r="AF6" i="203"/>
  <c r="G6" i="203" s="1"/>
  <c r="H6" i="203" s="1"/>
  <c r="AE44" i="203"/>
  <c r="E44" i="203" s="1"/>
  <c r="F44" i="203" s="1"/>
  <c r="AA40" i="203"/>
  <c r="AF39" i="203"/>
  <c r="G39" i="203" s="1"/>
  <c r="H39" i="203" s="1"/>
  <c r="AH36" i="203"/>
  <c r="K36" i="203" s="1"/>
  <c r="L36" i="203" s="1"/>
  <c r="Y33" i="203"/>
  <c r="AD32" i="203"/>
  <c r="AI31" i="203"/>
  <c r="M31" i="203" s="1"/>
  <c r="AF29" i="203"/>
  <c r="G29" i="203" s="1"/>
  <c r="H29" i="203" s="1"/>
  <c r="W26" i="203"/>
  <c r="O26" i="203" s="1"/>
  <c r="P26" i="203" s="1"/>
  <c r="AB25" i="203"/>
  <c r="AG24" i="203"/>
  <c r="I24" i="203" s="1"/>
  <c r="J24" i="203" s="1"/>
  <c r="Z18" i="203"/>
  <c r="AE17" i="203"/>
  <c r="E17" i="203" s="1"/>
  <c r="F17" i="203" s="1"/>
  <c r="AG14" i="203"/>
  <c r="I14" i="203" s="1"/>
  <c r="J14" i="203" s="1"/>
  <c r="X11" i="203"/>
  <c r="AC10" i="203"/>
  <c r="C10" i="203" s="1"/>
  <c r="D10" i="203" s="1"/>
  <c r="AH9" i="203"/>
  <c r="K9" i="203" s="1"/>
  <c r="L9" i="203" s="1"/>
  <c r="Y6" i="203"/>
  <c r="AD5" i="203"/>
  <c r="AA5" i="203"/>
  <c r="AD44" i="203"/>
  <c r="AI43" i="203"/>
  <c r="M43" i="203" s="1"/>
  <c r="N43" i="203" s="1"/>
  <c r="Z40" i="203"/>
  <c r="AE39" i="203"/>
  <c r="E39" i="203" s="1"/>
  <c r="F39" i="203" s="1"/>
  <c r="AG36" i="203"/>
  <c r="I36" i="203" s="1"/>
  <c r="J36" i="203" s="1"/>
  <c r="X33" i="203"/>
  <c r="AC32" i="203"/>
  <c r="C32" i="203" s="1"/>
  <c r="D32" i="203" s="1"/>
  <c r="AH31" i="203"/>
  <c r="K31" i="203" s="1"/>
  <c r="AE29" i="203"/>
  <c r="E29" i="203" s="1"/>
  <c r="F29" i="203" s="1"/>
  <c r="AA25" i="203"/>
  <c r="AF24" i="203"/>
  <c r="G24" i="203" s="1"/>
  <c r="H24" i="203" s="1"/>
  <c r="Y18" i="203"/>
  <c r="AD17" i="203"/>
  <c r="AI16" i="203"/>
  <c r="M16" i="203" s="1"/>
  <c r="AF14" i="203"/>
  <c r="G14" i="203" s="1"/>
  <c r="H14" i="203" s="1"/>
  <c r="W11" i="203"/>
  <c r="O11" i="203" s="1"/>
  <c r="P11" i="203" s="1"/>
  <c r="AB10" i="203"/>
  <c r="AG9" i="203"/>
  <c r="I9" i="203" s="1"/>
  <c r="J9" i="203" s="1"/>
  <c r="X6" i="203"/>
  <c r="AC5" i="203"/>
  <c r="AE9" i="203"/>
  <c r="E9" i="203" s="1"/>
  <c r="F9" i="203" s="1"/>
  <c r="AC44" i="203"/>
  <c r="C44" i="203" s="1"/>
  <c r="D44" i="203" s="1"/>
  <c r="AH43" i="203"/>
  <c r="K43" i="203" s="1"/>
  <c r="L43" i="203" s="1"/>
  <c r="Y40" i="203"/>
  <c r="AD39" i="203"/>
  <c r="AI38" i="203"/>
  <c r="M38" i="203" s="1"/>
  <c r="AF36" i="203"/>
  <c r="G36" i="203" s="1"/>
  <c r="H36" i="203" s="1"/>
  <c r="W33" i="203"/>
  <c r="O33" i="203" s="1"/>
  <c r="P33" i="203" s="1"/>
  <c r="AB32" i="203"/>
  <c r="AG31" i="203"/>
  <c r="I31" i="203" s="1"/>
  <c r="AD29" i="203"/>
  <c r="AI28" i="203"/>
  <c r="M28" i="203" s="1"/>
  <c r="N28" i="203" s="1"/>
  <c r="Z25" i="203"/>
  <c r="AE24" i="203"/>
  <c r="E24" i="203" s="1"/>
  <c r="F24" i="203" s="1"/>
  <c r="X18" i="203"/>
  <c r="AC17" i="203"/>
  <c r="C17" i="203" s="1"/>
  <c r="D17" i="203" s="1"/>
  <c r="AH16" i="203"/>
  <c r="K16" i="203" s="1"/>
  <c r="AE14" i="203"/>
  <c r="E14" i="203" s="1"/>
  <c r="F14" i="203" s="1"/>
  <c r="AA10" i="203"/>
  <c r="AF9" i="203"/>
  <c r="G9" i="203" s="1"/>
  <c r="H9" i="203" s="1"/>
  <c r="W6" i="203"/>
  <c r="O6" i="203" s="1"/>
  <c r="P6" i="203" s="1"/>
  <c r="AB5" i="203"/>
  <c r="Z10" i="203"/>
  <c r="AG18" i="203"/>
  <c r="I18" i="203" s="1"/>
  <c r="J18" i="203" s="1"/>
  <c r="AB44" i="203"/>
  <c r="AG43" i="203"/>
  <c r="I43" i="203" s="1"/>
  <c r="J43" i="203" s="1"/>
  <c r="X40" i="203"/>
  <c r="AC39" i="203"/>
  <c r="C39" i="203" s="1"/>
  <c r="D39" i="203" s="1"/>
  <c r="AH38" i="203"/>
  <c r="K38" i="203" s="1"/>
  <c r="AE36" i="203"/>
  <c r="E36" i="203" s="1"/>
  <c r="F36" i="203" s="1"/>
  <c r="AA32" i="203"/>
  <c r="AF31" i="203"/>
  <c r="G31" i="203" s="1"/>
  <c r="AC29" i="203"/>
  <c r="C29" i="203" s="1"/>
  <c r="D29" i="203" s="1"/>
  <c r="AH28" i="203"/>
  <c r="K28" i="203" s="1"/>
  <c r="L28" i="203" s="1"/>
  <c r="Y25" i="203"/>
  <c r="AD24" i="203"/>
  <c r="AI23" i="203"/>
  <c r="M23" i="203" s="1"/>
  <c r="N23" i="203" s="1"/>
  <c r="W18" i="203"/>
  <c r="O18" i="203" s="1"/>
  <c r="P18" i="203" s="1"/>
  <c r="AB17" i="203"/>
  <c r="AG16" i="203"/>
  <c r="I16" i="203" s="1"/>
  <c r="AD14" i="203"/>
  <c r="AI13" i="203"/>
  <c r="M13" i="203" s="1"/>
  <c r="N13" i="203" s="1"/>
  <c r="AA44" i="203"/>
  <c r="AF43" i="203"/>
  <c r="G43" i="203" s="1"/>
  <c r="H43" i="203" s="1"/>
  <c r="W40" i="203"/>
  <c r="O40" i="203" s="1"/>
  <c r="P40" i="203" s="1"/>
  <c r="AB39" i="203"/>
  <c r="AG38" i="203"/>
  <c r="I38" i="203" s="1"/>
  <c r="AD36" i="203"/>
  <c r="AI35" i="203"/>
  <c r="M35" i="203" s="1"/>
  <c r="N35" i="203" s="1"/>
  <c r="Z32" i="203"/>
  <c r="AE31" i="203"/>
  <c r="E31" i="203" s="1"/>
  <c r="AB29" i="203"/>
  <c r="AG28" i="203"/>
  <c r="I28" i="203" s="1"/>
  <c r="J28" i="203" s="1"/>
  <c r="X25" i="203"/>
  <c r="AC24" i="203"/>
  <c r="C24" i="203" s="1"/>
  <c r="D24" i="203" s="1"/>
  <c r="AH23" i="203"/>
  <c r="K23" i="203" s="1"/>
  <c r="L23" i="203" s="1"/>
  <c r="AA17" i="203"/>
  <c r="AF16" i="203"/>
  <c r="G16" i="203" s="1"/>
  <c r="AC14" i="203"/>
  <c r="C14" i="203" s="1"/>
  <c r="D14" i="203" s="1"/>
  <c r="AH13" i="203"/>
  <c r="K13" i="203" s="1"/>
  <c r="L13" i="203" s="1"/>
  <c r="Y10" i="203"/>
  <c r="AD9" i="203"/>
  <c r="AI8" i="203"/>
  <c r="M8" i="203" s="1"/>
  <c r="N8" i="203" s="1"/>
  <c r="Z5" i="203"/>
  <c r="Z44" i="203"/>
  <c r="AE43" i="203"/>
  <c r="E43" i="203" s="1"/>
  <c r="F43" i="203" s="1"/>
  <c r="AA39" i="203"/>
  <c r="AF38" i="203"/>
  <c r="G38" i="203" s="1"/>
  <c r="AC36" i="203"/>
  <c r="C36" i="203" s="1"/>
  <c r="D36" i="203" s="1"/>
  <c r="AH35" i="203"/>
  <c r="K35" i="203" s="1"/>
  <c r="L35" i="203" s="1"/>
  <c r="Y32" i="203"/>
  <c r="AD31" i="203"/>
  <c r="AA29" i="203"/>
  <c r="AF28" i="203"/>
  <c r="G28" i="203" s="1"/>
  <c r="H28" i="203" s="1"/>
  <c r="W25" i="203"/>
  <c r="O25" i="203" s="1"/>
  <c r="P25" i="203" s="1"/>
  <c r="AB24" i="203"/>
  <c r="AG23" i="203"/>
  <c r="I23" i="203" s="1"/>
  <c r="J23" i="203" s="1"/>
  <c r="AI20" i="203"/>
  <c r="M20" i="203" s="1"/>
  <c r="N20" i="203" s="1"/>
  <c r="Z17" i="203"/>
  <c r="AE16" i="203"/>
  <c r="E16" i="203" s="1"/>
  <c r="AB14" i="203"/>
  <c r="AG13" i="203"/>
  <c r="I13" i="203" s="1"/>
  <c r="J13" i="203" s="1"/>
  <c r="X10" i="203"/>
  <c r="AC9" i="203"/>
  <c r="C9" i="203" s="1"/>
  <c r="D9" i="203" s="1"/>
  <c r="AH8" i="203"/>
  <c r="K8" i="203" s="1"/>
  <c r="L8" i="203" s="1"/>
  <c r="Y5" i="203"/>
  <c r="AB19" i="203"/>
  <c r="Y44" i="203"/>
  <c r="AD43" i="203"/>
  <c r="AI42" i="203"/>
  <c r="M42" i="203" s="1"/>
  <c r="N42" i="203" s="1"/>
  <c r="Z39" i="203"/>
  <c r="AE38" i="203"/>
  <c r="E38" i="203" s="1"/>
  <c r="AB36" i="203"/>
  <c r="AG35" i="203"/>
  <c r="I35" i="203" s="1"/>
  <c r="J35" i="203" s="1"/>
  <c r="X32" i="203"/>
  <c r="AC31" i="203"/>
  <c r="C31" i="203" s="1"/>
  <c r="Z29" i="203"/>
  <c r="AE28" i="203"/>
  <c r="E28" i="203" s="1"/>
  <c r="F28" i="203" s="1"/>
  <c r="AA24" i="203"/>
  <c r="AF23" i="203"/>
  <c r="G23" i="203" s="1"/>
  <c r="H23" i="203" s="1"/>
  <c r="AH20" i="203"/>
  <c r="K20" i="203" s="1"/>
  <c r="L20" i="203" s="1"/>
  <c r="Y17" i="203"/>
  <c r="AD16" i="203"/>
  <c r="AA14" i="203"/>
  <c r="AF13" i="203"/>
  <c r="G13" i="203" s="1"/>
  <c r="H13" i="203" s="1"/>
  <c r="W10" i="203"/>
  <c r="O10" i="203" s="1"/>
  <c r="P10" i="203" s="1"/>
  <c r="AB9" i="203"/>
  <c r="AG8" i="203"/>
  <c r="I8" i="203" s="1"/>
  <c r="J8" i="203" s="1"/>
  <c r="X5" i="203"/>
  <c r="J57" i="202"/>
  <c r="J58" i="202"/>
  <c r="K5" i="203" l="1"/>
  <c r="AH45" i="203"/>
  <c r="AH48" i="203" s="1"/>
  <c r="AH52" i="203" s="1"/>
  <c r="I30" i="203"/>
  <c r="J30" i="203" s="1"/>
  <c r="J22" i="203"/>
  <c r="AB45" i="203"/>
  <c r="AB48" i="203" s="1"/>
  <c r="AB52" i="203" s="1"/>
  <c r="H22" i="203"/>
  <c r="G30" i="203"/>
  <c r="H30" i="203" s="1"/>
  <c r="K44" i="203"/>
  <c r="L44" i="203" s="1"/>
  <c r="I44" i="203"/>
  <c r="J44" i="203" s="1"/>
  <c r="C37" i="203"/>
  <c r="D37" i="203" s="1"/>
  <c r="D31" i="203"/>
  <c r="K21" i="203"/>
  <c r="L21" i="203" s="1"/>
  <c r="L16" i="203"/>
  <c r="I5" i="203"/>
  <c r="AG45" i="203"/>
  <c r="AG48" i="203" s="1"/>
  <c r="AG52" i="203" s="1"/>
  <c r="F22" i="203"/>
  <c r="E30" i="203"/>
  <c r="F30" i="203" s="1"/>
  <c r="M21" i="203"/>
  <c r="N21" i="203" s="1"/>
  <c r="N16" i="203"/>
  <c r="I21" i="203"/>
  <c r="J21" i="203" s="1"/>
  <c r="J16" i="203"/>
  <c r="C45" i="203"/>
  <c r="D38" i="203"/>
  <c r="I45" i="203"/>
  <c r="J38" i="203"/>
  <c r="M37" i="203"/>
  <c r="N37" i="203" s="1"/>
  <c r="N31" i="203"/>
  <c r="O21" i="203"/>
  <c r="P21" i="203" s="1"/>
  <c r="P16" i="203"/>
  <c r="X45" i="203"/>
  <c r="X48" i="203" s="1"/>
  <c r="X52" i="203" s="1"/>
  <c r="O30" i="203"/>
  <c r="P30" i="203" s="1"/>
  <c r="P22" i="203"/>
  <c r="O37" i="203"/>
  <c r="P37" i="203" s="1"/>
  <c r="P31" i="203"/>
  <c r="M30" i="203"/>
  <c r="N30" i="203" s="1"/>
  <c r="N22" i="203"/>
  <c r="AC45" i="203"/>
  <c r="AC48" i="203" s="1"/>
  <c r="AC52" i="203" s="1"/>
  <c r="C5" i="203"/>
  <c r="Y45" i="203"/>
  <c r="Y48" i="203" s="1"/>
  <c r="Y52" i="203" s="1"/>
  <c r="O45" i="203"/>
  <c r="P38" i="203"/>
  <c r="G21" i="203"/>
  <c r="H21" i="203" s="1"/>
  <c r="H16" i="203"/>
  <c r="I37" i="203"/>
  <c r="J37" i="203" s="1"/>
  <c r="J31" i="203"/>
  <c r="O5" i="203"/>
  <c r="W45" i="203"/>
  <c r="W48" i="203" s="1"/>
  <c r="G45" i="203"/>
  <c r="H38" i="203"/>
  <c r="Z45" i="203"/>
  <c r="Z48" i="203" s="1"/>
  <c r="Z52" i="203" s="1"/>
  <c r="E21" i="203"/>
  <c r="F21" i="203" s="1"/>
  <c r="F16" i="203"/>
  <c r="G37" i="203"/>
  <c r="H37" i="203" s="1"/>
  <c r="H31" i="203"/>
  <c r="D22" i="203"/>
  <c r="C30" i="203"/>
  <c r="D30" i="203" s="1"/>
  <c r="AE45" i="203"/>
  <c r="AE48" i="203" s="1"/>
  <c r="AE52" i="203" s="1"/>
  <c r="E5" i="203"/>
  <c r="K37" i="203"/>
  <c r="L37" i="203" s="1"/>
  <c r="L31" i="203"/>
  <c r="M45" i="203"/>
  <c r="N38" i="203"/>
  <c r="K30" i="203"/>
  <c r="L30" i="203" s="1"/>
  <c r="L22" i="203"/>
  <c r="K45" i="203"/>
  <c r="L38" i="203"/>
  <c r="C21" i="203"/>
  <c r="D21" i="203" s="1"/>
  <c r="D16" i="203"/>
  <c r="AA45" i="203"/>
  <c r="AA48" i="203" s="1"/>
  <c r="AA52" i="203" s="1"/>
  <c r="E45" i="203"/>
  <c r="F38" i="203"/>
  <c r="AF45" i="203"/>
  <c r="AF48" i="203" s="1"/>
  <c r="AF52" i="203" s="1"/>
  <c r="G5" i="203"/>
  <c r="E37" i="203"/>
  <c r="F37" i="203" s="1"/>
  <c r="F31" i="203"/>
  <c r="AD45" i="203"/>
  <c r="AD48" i="203" s="1"/>
  <c r="AD52" i="203" s="1"/>
  <c r="M5" i="203"/>
  <c r="AI45" i="203"/>
  <c r="AI48" i="203" s="1"/>
  <c r="AI52" i="203" s="1"/>
  <c r="H45" i="203" l="1"/>
  <c r="D45" i="203"/>
  <c r="W52" i="203"/>
  <c r="W50" i="203"/>
  <c r="O15" i="203"/>
  <c r="P15" i="203" s="1"/>
  <c r="P5" i="203"/>
  <c r="O47" i="203"/>
  <c r="P47" i="203" s="1"/>
  <c r="P45" i="203"/>
  <c r="I15" i="203"/>
  <c r="J15" i="203" s="1"/>
  <c r="J5" i="203"/>
  <c r="E15" i="203"/>
  <c r="F15" i="203" s="1"/>
  <c r="F5" i="203"/>
  <c r="C15" i="203"/>
  <c r="D15" i="203" s="1"/>
  <c r="D5" i="203"/>
  <c r="N45" i="203"/>
  <c r="I47" i="203"/>
  <c r="J47" i="203" s="1"/>
  <c r="J45" i="203"/>
  <c r="E47" i="203"/>
  <c r="F47" i="203" s="1"/>
  <c r="F45" i="203"/>
  <c r="L45" i="203"/>
  <c r="K47" i="203"/>
  <c r="L47" i="203" s="1"/>
  <c r="M15" i="203"/>
  <c r="N15" i="203" s="1"/>
  <c r="N5" i="203"/>
  <c r="H5" i="203"/>
  <c r="G15" i="203"/>
  <c r="H15" i="203" s="1"/>
  <c r="K15" i="203"/>
  <c r="L15" i="203" s="1"/>
  <c r="L5" i="203"/>
  <c r="M47" i="203" l="1"/>
  <c r="N47" i="203" s="1"/>
  <c r="N58" i="203" s="1"/>
  <c r="L59" i="203"/>
  <c r="L58" i="203"/>
  <c r="J59" i="203"/>
  <c r="J58" i="203"/>
  <c r="C47" i="203"/>
  <c r="D47" i="203" s="1"/>
  <c r="D59" i="203" s="1"/>
  <c r="F59" i="203"/>
  <c r="F58" i="203"/>
  <c r="P59" i="203"/>
  <c r="P58" i="203"/>
  <c r="G47" i="203"/>
  <c r="H47" i="203" s="1"/>
  <c r="H58" i="203" s="1"/>
  <c r="N59" i="203" l="1"/>
  <c r="H59" i="203"/>
  <c r="D58" i="20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D15" authorId="0" shapeId="0" xr:uid="{9EA9C3D9-C175-44C0-81AF-B187B87C6BBA}">
      <text>
        <r>
          <rPr>
            <b/>
            <sz val="9"/>
            <color indexed="81"/>
            <rFont val="Tahoma"/>
            <family val="2"/>
          </rPr>
          <t>Author:</t>
        </r>
        <r>
          <rPr>
            <sz val="9"/>
            <color indexed="81"/>
            <rFont val="Tahoma"/>
            <family val="2"/>
          </rPr>
          <t xml:space="preserve">
Formula
=G39/G12*100</t>
        </r>
      </text>
    </comment>
    <comment ref="D16" authorId="0" shapeId="0" xr:uid="{DE762F62-A02D-4626-ACD0-D1D07B50A095}">
      <text>
        <r>
          <rPr>
            <b/>
            <sz val="9"/>
            <color indexed="81"/>
            <rFont val="Tahoma"/>
            <family val="2"/>
          </rPr>
          <t>Author:</t>
        </r>
        <r>
          <rPr>
            <sz val="9"/>
            <color indexed="81"/>
            <rFont val="Tahoma"/>
            <family val="2"/>
          </rPr>
          <t xml:space="preserve">
Formula
=G40/G13
*100</t>
        </r>
      </text>
    </comment>
    <comment ref="D17" authorId="0" shapeId="0" xr:uid="{8F57D3DB-B146-46FF-9CFE-3528284626EA}">
      <text>
        <r>
          <rPr>
            <b/>
            <sz val="9"/>
            <color indexed="81"/>
            <rFont val="Tahoma"/>
            <family val="2"/>
          </rPr>
          <t>Author:</t>
        </r>
        <r>
          <rPr>
            <sz val="9"/>
            <color indexed="81"/>
            <rFont val="Tahoma"/>
            <family val="2"/>
          </rPr>
          <t xml:space="preserve">
=100- Percentage of self sufficiency (ii/iii) ref. table 2.6</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D43" authorId="0" shapeId="0" xr:uid="{D9DFED55-2348-4331-93D2-2C33879013D9}">
      <text>
        <r>
          <rPr>
            <b/>
            <sz val="9"/>
            <color indexed="81"/>
            <rFont val="Tahoma"/>
            <family val="2"/>
          </rPr>
          <t>Author:</t>
        </r>
        <r>
          <rPr>
            <sz val="9"/>
            <color indexed="81"/>
            <rFont val="Tahoma"/>
            <family val="2"/>
          </rPr>
          <t xml:space="preserve">
Formula
=G39/G12*100</t>
        </r>
      </text>
    </comment>
    <comment ref="D44" authorId="0" shapeId="0" xr:uid="{D01F9CF2-F010-4383-8C9E-33B0DD3F1F93}">
      <text>
        <r>
          <rPr>
            <b/>
            <sz val="9"/>
            <color indexed="81"/>
            <rFont val="Tahoma"/>
            <family val="2"/>
          </rPr>
          <t>Author:</t>
        </r>
        <r>
          <rPr>
            <sz val="9"/>
            <color indexed="81"/>
            <rFont val="Tahoma"/>
            <family val="2"/>
          </rPr>
          <t xml:space="preserve">
Formula
=G40/G13
*100</t>
        </r>
      </text>
    </comment>
    <comment ref="D45" authorId="0" shapeId="0" xr:uid="{AA06A865-C2E2-4089-A65F-D39E035ED61D}">
      <text>
        <r>
          <rPr>
            <b/>
            <sz val="9"/>
            <color indexed="81"/>
            <rFont val="Tahoma"/>
            <family val="2"/>
          </rPr>
          <t>Author:</t>
        </r>
        <r>
          <rPr>
            <sz val="9"/>
            <color indexed="81"/>
            <rFont val="Tahoma"/>
            <family val="2"/>
          </rPr>
          <t xml:space="preserve">
=100- Percentage of self sufficiency (ii/iii) ref. table 2.6</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D45" authorId="0" shapeId="0" xr:uid="{DD07953C-5D10-419D-86E4-7A2DE56932FD}">
      <text>
        <r>
          <rPr>
            <b/>
            <sz val="9"/>
            <color indexed="81"/>
            <rFont val="Tahoma"/>
            <family val="2"/>
          </rPr>
          <t>Author:</t>
        </r>
        <r>
          <rPr>
            <sz val="9"/>
            <color indexed="81"/>
            <rFont val="Tahoma"/>
            <family val="2"/>
          </rPr>
          <t xml:space="preserve">
Formula
=G39/G12*100</t>
        </r>
      </text>
    </comment>
    <comment ref="D46" authorId="0" shapeId="0" xr:uid="{24326CA4-13E6-4227-8A18-8B73E88D6766}">
      <text>
        <r>
          <rPr>
            <b/>
            <sz val="9"/>
            <color indexed="81"/>
            <rFont val="Tahoma"/>
            <family val="2"/>
          </rPr>
          <t>Author:</t>
        </r>
        <r>
          <rPr>
            <sz val="9"/>
            <color indexed="81"/>
            <rFont val="Tahoma"/>
            <family val="2"/>
          </rPr>
          <t xml:space="preserve">
Formula
=G40/G13
*100</t>
        </r>
      </text>
    </comment>
    <comment ref="D47" authorId="0" shapeId="0" xr:uid="{F8E40D71-1138-46CB-BA0F-9C6DBD8FA502}">
      <text>
        <r>
          <rPr>
            <b/>
            <sz val="9"/>
            <color indexed="81"/>
            <rFont val="Tahoma"/>
            <family val="2"/>
          </rPr>
          <t>Author:</t>
        </r>
        <r>
          <rPr>
            <sz val="9"/>
            <color indexed="81"/>
            <rFont val="Tahoma"/>
            <family val="2"/>
          </rPr>
          <t xml:space="preserve">
=100- Percentage of self sufficiency (ii/iii) ref. table 2.6</t>
        </r>
      </text>
    </comment>
  </commentList>
</comments>
</file>

<file path=xl/sharedStrings.xml><?xml version="1.0" encoding="utf-8"?>
<sst xmlns="http://schemas.openxmlformats.org/spreadsheetml/2006/main" count="7599" uniqueCount="3030">
  <si>
    <t>Petroleum Planning &amp; Analysis Cell (PPAC), an attached office of the Ministry of Petroleum &amp; Natural Gas (MoPNG) is playing pivotal role in the transition process with all sorts of energy data analysis and decision making. PPAC, publishes the ‘Ready Reckoner’ bi-annually, a comprehensive databank for key Oil &amp; Gas industry of the country. Ready Reckoner Annual edition FY2023-24 contains the latest information for the year and historical time series data in nine broad chapters for stakeholders including the Oil &amp; Gas value chain planners, policymakers, academicians, analysts, market researchers and the industry in a single platform.
In order to make vital information available at earliest to all our stakeholders, PPAC has decided from this edition to publish the Reckoner in two versions. Version 1.0, which is now with you and has all oil and gas updated data except international data in tables 1.2, 2.1 to 2.4 and 3.1 to 3.3, which are borrowed from Energy Institute and is released towards end of June. PPAC will come up with final Version including printed version as soon as these datasets are made available. 
The year 2023-24 has been momentous in view of many events which have been significant for energy transition. India’s G20 presidency this year saw the pinnacle of the movement where the forum discussed wide range of subjects including energy. As a significant outcome of the summit, the Global Biofuel Alliance was launched. It brings together 24 countries and 12 international organizations – including the World Economic Forum, the World Bank and the Asian Development Bank – to expand the use of sustainable biofuels.
COP`28 at Dubai, UAE, called for ‘transitioning away from fossils fuels. Theme of the conference was fast tracking the energy transition and slashing emissions before 2030 to limit global warming to 1.5° C (2.7° F) above pre-industrial levels. Put nature, people, lives and livelihoods at the heart of climate action, including helping the most vulnerable communities adapt to the change that’s already occurring.
It is also important to mention here that the world is at middle of the timeframe for the 2030 Agenda for Sustainable Development Goal, adopted by all United Nations Member States in 2015. Also to achieve the target to limit global warming to 1.5°C compared to pre-industrial levels, it is desired that emissions must be halved by 2030. While we have another six years to meet the goals, India is at the forefront of actions for speedy transition and meeting various SDG goals.
Important actions/decisions on Oil and Gas front in the last 6 months are as follows.
* Government has set target to increase share of gas in energy mix up to 15 per cent by 2030. By the end of 12th CGD bidding round, the entire country (except Islands) has got covered.
* It will be appropriate to note that the country meanwhile crossed Ethanol Blending in Petrol of 12% during the current ESY Dec’22-Oct’23 achieving 12.1% on cumulative basis. India is also on track to achieve 20% blending by 2025 and E20 petrol is already available at 13,569 PSU outlets out of 81,529 total PSU Retail Outlets as on 30.04.2024. Successful Pilot Study on E27 Fuel and Ethanol Blended Diesel Fuel have also taken place in country.
* To decarbonizing of the aviation sector, India’s first commercial passenger flight using indigenously produced Sustainable Aviation Fuel (SAF) blend was successfully flown in May this year. The flight from Pune to Delhi was powered by SAF blended Aviation Turbine Fuel (ATF) produced using indigenous feedstock. The National Biofuel Coordination Committee (NBCC) declared initial indicative blending percentage of Sustainable Aviation Fuel (SAF/Bio- ATF) target of 1% SAF indicative blending target in 2027 ( Initially for International flights) • 2% SAF blending target in 2028 (Initially for International flights )
* The Central Government declared the timeline to implement ‘Compressed Bio-Gas Blending Obligation’ (CBO) in CNG (Transport) &amp; PNG (Domestic) segments of CGD Sector with the following three main repository guidelines:- • CBO will be voluntary till FY 2024-2025 and mandatory blending obligation would start from FY 2025-26. CBO shall be kept as 1%, 3% and 4% of total CNG/PNG consumption for FY 2025-26, 2026- 27 and 2027-28 respectively. From 2028-29 onwards CBO will be 5%. • PPAC has been designated as Central Repository Body (CRB) to monitor and implement the blending mandate based on the prescribed operational guidelines. 
* With Government of India’s focus to accelerate E&amp;P activities across the Country, MoP&amp;NG launched Open Acreage Licensing Programme (OALP) Bid Round-VIII, offering 10 blocks, for International Competitive Bidding. Award of OALP Round-VIII Blocks will further add 34,364.53 sq. km. of acreage and take the cumulative exploration acreage under OALP to 242,055 sq. km.
 • The PM Ujjwala Yojana was expanded with 75 lakh additional LPG connections to be released in 3 years.  As a result PMUY connections have reached 10.33 cr and total number of active LPG domestic connections reached at 32.4 cr. The subsidy on PMUY refills raised from `200 per cylinder to `300 for up to 12 refills per year, making the LPG more affordable.
* Almost 25% of total outlets now provide alternate fuels (EV Charging, CNG/CBG/LNG and Auto LPG).  Of these 17466 outlets offer EV charging facilities to commuters.
* 1st Green Hydrogen Fuel Cell Bus from Kartavya Path, New Delhi.
* Reference Fuels were launched in spirit of Atma Nirbhar Bharat
The data for Ready Reckoner is obtained from the Public Sector Oil &amp; Gas Companies, Government bodies and Private Companies. The collected metadata is processed and scrutinized at various levels before it is published in Ready Reckoner or some e-platform.
The Version 1.0 Ready Reckoner is published on PPAC’s website (https://www.ppac.gov.in) and on our mobile app - PPACE which can be downloaded on mobile device through both Google Play Store and Apple Store. From last edition, datasets of reckoner are also uploaded on the website for the benefit of researchers and analysis. 
The publication of Ready Reckoner is a concerted effort by all Divisions of PPAC and I would like to place on record my sincere appreciation of the diligent efforts of the officers and staff of PPAC who have contributed to bring out this edition in a timely manner. The cooperation of the Oil &amp; Gas industry and various organizations is sincerely acknowledged for their timely inputs.
PPAC welcomes feedback and suggestions for broadening the coverage and contents of the data being disseminated through this publication. The comments and feedback may kindly be sent to epankaj. sharma@ppac.gov.in or dirgen@ppac.gov.in.
New Delhi                                                                                                                                                                           
Date: 28.05.2024  
                                                                                                                                                                                                                                                                                                                                                                                              P. Manoj Kumar
                                                                                                                                                                                                                                                                                                                                                                                             Director General
                                                                                                                                                                                                                                                                                                                                                                      Petroleum Planning &amp; Analysis Cell (PPAC)     
                                                                                                                                                                                                                                                                                                                                                                          (Ministry of Petroleum &amp; Natural Gas)</t>
  </si>
  <si>
    <t>Table 1.1 : Selected indicators of the Indian economy</t>
  </si>
  <si>
    <t>General</t>
  </si>
  <si>
    <t>Sl. no.</t>
  </si>
  <si>
    <t>Particulars</t>
  </si>
  <si>
    <t>Source</t>
  </si>
  <si>
    <t>Unit/ Base</t>
  </si>
  <si>
    <t>2018-19</t>
  </si>
  <si>
    <t>2019-20</t>
  </si>
  <si>
    <t>2020-21</t>
  </si>
  <si>
    <t xml:space="preserve">2021-22 </t>
  </si>
  <si>
    <t>2022-23</t>
  </si>
  <si>
    <t>Apr-Sep
2022</t>
  </si>
  <si>
    <t xml:space="preserve"> 2023-24 (P)</t>
  </si>
  <si>
    <t>Apr-Sep 2024-25 (P)</t>
  </si>
  <si>
    <t>Projected Total Population  as on 1st July of the financial year</t>
  </si>
  <si>
    <r>
      <t>Report of the Technical Group
on Population Projections</t>
    </r>
    <r>
      <rPr>
        <vertAlign val="superscript"/>
        <sz val="12"/>
        <rFont val="Book Antiqua"/>
        <family val="1"/>
      </rPr>
      <t>$</t>
    </r>
  </si>
  <si>
    <t>('000)</t>
  </si>
  <si>
    <t>-</t>
  </si>
  <si>
    <t>MoC&amp;I</t>
  </si>
  <si>
    <t>Growth %</t>
  </si>
  <si>
    <t xml:space="preserve">At constant (2011-12 Prices) </t>
  </si>
  <si>
    <r>
      <t>2</t>
    </r>
    <r>
      <rPr>
        <vertAlign val="superscript"/>
        <sz val="12"/>
        <rFont val="Book Antiqua"/>
        <family val="1"/>
      </rPr>
      <t xml:space="preserve">nd </t>
    </r>
    <r>
      <rPr>
        <sz val="12"/>
        <rFont val="Book Antiqua"/>
        <family val="1"/>
      </rPr>
      <t>RE</t>
    </r>
  </si>
  <si>
    <r>
      <t>1</t>
    </r>
    <r>
      <rPr>
        <vertAlign val="superscript"/>
        <sz val="12"/>
        <rFont val="Book Antiqua"/>
        <family val="1"/>
      </rPr>
      <t>st</t>
    </r>
    <r>
      <rPr>
        <sz val="12"/>
        <rFont val="Book Antiqua"/>
        <family val="1"/>
      </rPr>
      <t xml:space="preserve"> RE</t>
    </r>
  </si>
  <si>
    <r>
      <t>1</t>
    </r>
    <r>
      <rPr>
        <vertAlign val="superscript"/>
        <sz val="12"/>
        <rFont val="Book Antiqua"/>
        <family val="1"/>
      </rPr>
      <t xml:space="preserve">st </t>
    </r>
    <r>
      <rPr>
        <sz val="12"/>
        <rFont val="Book Antiqua"/>
        <family val="1"/>
      </rPr>
      <t>RE</t>
    </r>
  </si>
  <si>
    <t>PE</t>
  </si>
  <si>
    <t>ARR-March 2023</t>
  </si>
  <si>
    <t>PE (2021-22)</t>
  </si>
  <si>
    <t>Q1 (E)</t>
  </si>
  <si>
    <t>Agricultural production 
(Foodgrains)</t>
  </si>
  <si>
    <t>MoA</t>
  </si>
  <si>
    <t>Million tonne</t>
  </si>
  <si>
    <t xml:space="preserve">Final Eestimate </t>
  </si>
  <si>
    <t>3rd AE</t>
  </si>
  <si>
    <t>1st AE (H1)</t>
  </si>
  <si>
    <t>Index of Industrial Production
(Base: 2011-12)</t>
  </si>
  <si>
    <t>MoSPI</t>
  </si>
  <si>
    <t>5.2#</t>
  </si>
  <si>
    <r>
      <t>11.4</t>
    </r>
    <r>
      <rPr>
        <vertAlign val="superscript"/>
        <sz val="12"/>
        <rFont val="Book Antiqua"/>
        <family val="1"/>
      </rPr>
      <t>π</t>
    </r>
    <r>
      <rPr>
        <sz val="12"/>
        <rFont val="Book Antiqua"/>
        <family val="1"/>
      </rPr>
      <t xml:space="preserve">
  QE</t>
    </r>
  </si>
  <si>
    <t>5.8#</t>
  </si>
  <si>
    <t>Imports^</t>
  </si>
  <si>
    <t>$ Billion</t>
  </si>
  <si>
    <t>Exports^</t>
  </si>
  <si>
    <t>Wholesale Price Index 
(all commodities) (average)</t>
  </si>
  <si>
    <t>2011-12 = 100 </t>
  </si>
  <si>
    <t>All India Consumer Price Index (average):</t>
  </si>
  <si>
    <t>https://eaindustry.nic.in/download_data_1112.asp</t>
  </si>
  <si>
    <t>Labour Bureau, Govt. of India</t>
  </si>
  <si>
    <r>
      <t>2001=100
2016=100 (wef Sep.2020)</t>
    </r>
    <r>
      <rPr>
        <vertAlign val="superscript"/>
        <sz val="12"/>
        <color theme="1"/>
        <rFont val="Book Antiqua"/>
        <family val="1"/>
      </rPr>
      <t>&amp;</t>
    </r>
  </si>
  <si>
    <t>http://labourbureaunew.gov.in/showdetail.aspx?pr_id=QZsXHqDcgnw%3d</t>
  </si>
  <si>
    <t>ẞØ¥</t>
  </si>
  <si>
    <t>1986-87=100</t>
  </si>
  <si>
    <t>http://labourbureaunew.gov.in/showdetail.aspx?pr_id=MAz7gHwKpAA%3d</t>
  </si>
  <si>
    <t>Foreign exchange reserves- Total@</t>
  </si>
  <si>
    <t>RBI</t>
  </si>
  <si>
    <t>https://www.rbi.org.in/Scripts/PublicationsView.aspx?id=21355#21</t>
  </si>
  <si>
    <t>Outstanding external liabilities 
(as of end of financial year)</t>
  </si>
  <si>
    <t>MoF</t>
  </si>
  <si>
    <t xml:space="preserve"> ₹ Crore</t>
  </si>
  <si>
    <t>4,69,035</t>
  </si>
  <si>
    <t>ARR-May 2021</t>
  </si>
  <si>
    <t>2022-23 (BE)</t>
  </si>
  <si>
    <t>https://www.indiabudget.gov.in/doc/rec/annex91.pdf</t>
  </si>
  <si>
    <t>(RE)</t>
  </si>
  <si>
    <t>2023-24 (RE)</t>
  </si>
  <si>
    <t>Outstanding 'internal debt and other liabilities' 
(as of end of financial year)</t>
  </si>
  <si>
    <t>1,47,77,724.43</t>
  </si>
  <si>
    <t>2022-23 (RE)</t>
  </si>
  <si>
    <t>Centrally Sponsored Schemes &amp; other transfers</t>
  </si>
  <si>
    <t>https://www.indiabudget.gov.in/doc/eb/vol1.pdf (pf-3 sl no 5- Transfers-SUMMARY OF EXPENDITURE)</t>
  </si>
  <si>
    <t>Gross fiscal deficit</t>
  </si>
  <si>
    <t>%</t>
  </si>
  <si>
    <t>ARR-May 2022</t>
  </si>
  <si>
    <t>RE</t>
  </si>
  <si>
    <t>OE</t>
  </si>
  <si>
    <t>Petroleum</t>
  </si>
  <si>
    <t xml:space="preserve">2020-21 </t>
  </si>
  <si>
    <t>2021-22</t>
  </si>
  <si>
    <t>2023-24 (P)</t>
  </si>
  <si>
    <t>Crude oil production in India</t>
  </si>
  <si>
    <t>ONGC/OIL/DGH</t>
  </si>
  <si>
    <t>MMT</t>
  </si>
  <si>
    <t>Consumption of petroleum products in India</t>
  </si>
  <si>
    <t>OMCs/PPAC</t>
  </si>
  <si>
    <t>Petroleum products production in India</t>
  </si>
  <si>
    <t>Oil Cos</t>
  </si>
  <si>
    <t>Imports &amp; exports</t>
  </si>
  <si>
    <t>Crude oil imports</t>
  </si>
  <si>
    <t>Petroleum products imports</t>
  </si>
  <si>
    <t>Oil Cos &amp; DGCIS</t>
  </si>
  <si>
    <t>Total petroleum imports 
(crude oil + petroleum products)</t>
  </si>
  <si>
    <t>Petroleum products exports</t>
  </si>
  <si>
    <t>Gross petroleum imports as % of India's gross imports in value terms</t>
  </si>
  <si>
    <t>MOC&amp;I/PPAC</t>
  </si>
  <si>
    <t>Gross petroleum exports as % of India's gross exports in value terms</t>
  </si>
  <si>
    <t>Import dependency (based on consumption)</t>
  </si>
  <si>
    <t>PPAC</t>
  </si>
  <si>
    <r>
      <rPr>
        <b/>
        <sz val="12"/>
        <rFont val="Book Antiqua"/>
        <family val="1"/>
      </rPr>
      <t xml:space="preserve">Note : </t>
    </r>
    <r>
      <rPr>
        <sz val="12"/>
        <rFont val="Book Antiqua"/>
        <family val="1"/>
      </rPr>
      <t>(P): Provisional,</t>
    </r>
    <r>
      <rPr>
        <b/>
        <sz val="12"/>
        <rFont val="Book Antiqua"/>
        <family val="1"/>
      </rPr>
      <t xml:space="preserve"> </t>
    </r>
    <r>
      <rPr>
        <sz val="12"/>
        <rFont val="Book Antiqua"/>
        <family val="1"/>
      </rPr>
      <t>OMCs: Oil Marketing Companies, PPAC: Petroleum Planning &amp; Analysis Cell</t>
    </r>
  </si>
  <si>
    <t xml:space="preserve">Natural gas </t>
  </si>
  <si>
    <t>2022-23(P)</t>
  </si>
  <si>
    <t>Gross Production</t>
  </si>
  <si>
    <t>MMSCM</t>
  </si>
  <si>
    <t>Net Production (net of flare and loss)</t>
  </si>
  <si>
    <t>LNG Import</t>
  </si>
  <si>
    <t>LNG importing Cos, DGCIS</t>
  </si>
  <si>
    <t xml:space="preserve">Total Consumption including internal use 
(Net Production+ LNG import) </t>
  </si>
  <si>
    <t>Import dependency (based on consumption) {(sl no.3/sl no.4 )*100}</t>
  </si>
  <si>
    <r>
      <rPr>
        <b/>
        <sz val="12"/>
        <rFont val="Book Antiqua"/>
        <family val="1"/>
      </rPr>
      <t>Note :</t>
    </r>
    <r>
      <rPr>
        <sz val="12"/>
        <rFont val="Book Antiqua"/>
        <family val="1"/>
      </rPr>
      <t xml:space="preserve"> MMSCM : Million Standard Cubic Meter</t>
    </r>
  </si>
  <si>
    <t>Source-Energy Institute Statistical Review of World Energy, 2024</t>
  </si>
  <si>
    <t>Chapter Highlights</t>
  </si>
  <si>
    <t>Consumption of petroleum products</t>
  </si>
  <si>
    <t>End-use sectoral analysis of POL domestic consumption</t>
  </si>
  <si>
    <t>LPG</t>
  </si>
  <si>
    <t>MISCELLANEOUS</t>
  </si>
  <si>
    <t>List of Abbreviations</t>
  </si>
  <si>
    <t>2019-20 (To be deleted)</t>
  </si>
  <si>
    <t>Country</t>
  </si>
  <si>
    <t>Unit</t>
  </si>
  <si>
    <t>Oil</t>
  </si>
  <si>
    <t>Natural Gas</t>
  </si>
  <si>
    <t>Coal</t>
  </si>
  <si>
    <t>Nuclear Energy</t>
  </si>
  <si>
    <t>Hydro Electricity</t>
  </si>
  <si>
    <t>Renewables</t>
  </si>
  <si>
    <t>Total Energy</t>
  </si>
  <si>
    <t>China</t>
  </si>
  <si>
    <t>Mtoe</t>
  </si>
  <si>
    <t xml:space="preserve">Percentage share </t>
  </si>
  <si>
    <t>USA</t>
  </si>
  <si>
    <t>US</t>
  </si>
  <si>
    <t>Per capita consumption</t>
  </si>
  <si>
    <t>Toe</t>
  </si>
  <si>
    <t>India</t>
  </si>
  <si>
    <t>Total</t>
  </si>
  <si>
    <t>Russian Federation</t>
  </si>
  <si>
    <t>Japan</t>
  </si>
  <si>
    <t>Canada</t>
  </si>
  <si>
    <t>Germany</t>
  </si>
  <si>
    <t>South Korea</t>
  </si>
  <si>
    <t>Brazil</t>
  </si>
  <si>
    <t>Mexico</t>
  </si>
  <si>
    <t>Iran</t>
  </si>
  <si>
    <t>Saudi Arabia</t>
  </si>
  <si>
    <t>France</t>
  </si>
  <si>
    <t>United Kingdom</t>
  </si>
  <si>
    <t>Indonesia</t>
  </si>
  <si>
    <t>Total World</t>
  </si>
  <si>
    <t>Sub total</t>
  </si>
  <si>
    <t>Others</t>
  </si>
  <si>
    <t xml:space="preserve">Conversion factor used for Oil as per product basket of 1 EJ = 23.884589 MTOE (Approximate conversion factors from BP Statistical Review of World Energy, 2024) </t>
  </si>
  <si>
    <r>
      <rPr>
        <b/>
        <sz val="12"/>
        <rFont val="Tw Cen MT"/>
        <family val="2"/>
      </rPr>
      <t>Mtoe:</t>
    </r>
    <r>
      <rPr>
        <sz val="12"/>
        <rFont val="Tw Cen MT"/>
        <family val="2"/>
      </rPr>
      <t xml:space="preserve"> Million tonnes of oil equavalent,</t>
    </r>
    <r>
      <rPr>
        <b/>
        <sz val="12"/>
        <rFont val="Tw Cen MT"/>
        <family val="2"/>
      </rPr>
      <t xml:space="preserve"> Toe:</t>
    </r>
    <r>
      <rPr>
        <sz val="12"/>
        <rFont val="Tw Cen MT"/>
        <family val="2"/>
      </rPr>
      <t xml:space="preserve"> Tonnes of oil equivalent </t>
    </r>
  </si>
  <si>
    <t>Chapter-2</t>
  </si>
  <si>
    <t>Exploration &amp; Crude Oil Production</t>
  </si>
  <si>
    <t>Exploration &amp; Production industry has come a long way in India from the first oil discovery in 1889 near the town of Digboi in the state of Assam to current 26 sedimentary basins in India, covering a total area of 3.4 million square kilometer. The area is spread across on land, shallow water up to 400-meter water depth and Deepwater further up to Exclusive Economic Zone (EEZ).</t>
  </si>
  <si>
    <t xml:space="preserve">The Government of India has taken several steps to increase the crude oil &amp; gas production in India through various policy initiatives towards Exploration &amp; Production activities by allocating &amp; awarding Blocks to both National &amp; Private E&amp;P companies. </t>
  </si>
  <si>
    <t>In this regard, starting from Pre-Independence era (1886 – 1946) to Nomination Basis era where Petroleum Exploration License (PEL) was awarded (1947 – 1990), then Pre NELP era where Petroleum Mining Lease (PML) was awarded (1991 – 1996) then NELP (New Exploration Licensing Policy) era and then HELP (Hydrocarbon Exploration Licensing Policy) era India has taken several policy initiatives to boost domestic Crude Oil &amp; Gas production.</t>
  </si>
  <si>
    <t>S.No.</t>
  </si>
  <si>
    <t>Thousand million tonnes</t>
  </si>
  <si>
    <t>Thousand million barrels</t>
  </si>
  <si>
    <t>Venezuela</t>
  </si>
  <si>
    <t>Iraq</t>
  </si>
  <si>
    <t>Kuwait</t>
  </si>
  <si>
    <t>United Arab Emirates</t>
  </si>
  <si>
    <t>Libya</t>
  </si>
  <si>
    <t>Nigeria</t>
  </si>
  <si>
    <t>Kazakhstan</t>
  </si>
  <si>
    <t>Qatar</t>
  </si>
  <si>
    <t>Algeria</t>
  </si>
  <si>
    <t>Angola</t>
  </si>
  <si>
    <t>Norway</t>
  </si>
  <si>
    <t>Azerbaijan</t>
  </si>
  <si>
    <t>Oman</t>
  </si>
  <si>
    <t>Vietnam</t>
  </si>
  <si>
    <t>Other Africa</t>
  </si>
  <si>
    <t>South Sudan</t>
  </si>
  <si>
    <t>Egypt</t>
  </si>
  <si>
    <t xml:space="preserve">Republic of Congo </t>
  </si>
  <si>
    <t>Yemen</t>
  </si>
  <si>
    <t>Malaysia</t>
  </si>
  <si>
    <t>Argentina</t>
  </si>
  <si>
    <t>of which: OECD</t>
  </si>
  <si>
    <t xml:space="preserve">                 Non-OECD</t>
  </si>
  <si>
    <t xml:space="preserve">                 OPEC</t>
  </si>
  <si>
    <t xml:space="preserve">                 Non-OPEC </t>
  </si>
  <si>
    <t xml:space="preserve">                 European Union </t>
  </si>
  <si>
    <t>Canadian oil sands: Total</t>
  </si>
  <si>
    <t xml:space="preserve"> </t>
  </si>
  <si>
    <t>of which: Under active development</t>
  </si>
  <si>
    <t>Venezuela: Orinoco Belt</t>
  </si>
  <si>
    <t>Million tonnes</t>
  </si>
  <si>
    <t>Million barrels daily</t>
  </si>
  <si>
    <t>Colombia</t>
  </si>
  <si>
    <t>Ecuador</t>
  </si>
  <si>
    <t>Guyana</t>
  </si>
  <si>
    <t xml:space="preserve">                 European Union #</t>
  </si>
  <si>
    <t xml:space="preserve">*Includes crude oil, shale oil, oil sands, condensates (lease condensate or gas condensates that require further refining) and NGLs (natural gas liquids - ethane, LPG and naphtha separated from the production of natural gas). </t>
  </si>
  <si>
    <t>Excludes liquid fuels from other sources such as biofuels and synthetic derivatives of coal and natural gas. This also excludes liquid fuel adjustment factors such as refinery processing gain. Excludes oil shales/kerogen extracted in solid form.</t>
  </si>
  <si>
    <t>Consumption</t>
  </si>
  <si>
    <t>S.no.</t>
  </si>
  <si>
    <t>Singapore</t>
  </si>
  <si>
    <t>Spain</t>
  </si>
  <si>
    <t>Italy</t>
  </si>
  <si>
    <t>Turkey</t>
  </si>
  <si>
    <t>Thailand</t>
  </si>
  <si>
    <t>Australia</t>
  </si>
  <si>
    <t>Western Africa</t>
  </si>
  <si>
    <t>Netherlands</t>
  </si>
  <si>
    <t>Taiwan</t>
  </si>
  <si>
    <t>Poland</t>
  </si>
  <si>
    <t>Inland demand plus international aviation and marine bunkers and refinery fuel and loss. Consumption of biogasoline (such as ethanol) and biodiesel are excluded while derivatives of coal and natural gas are included.</t>
  </si>
  <si>
    <t># Excludes Estonia, Latvia and Lithuania prior to 1985 and Croatia and Slovenia prior to 1990.</t>
  </si>
  <si>
    <t>Table 2.4: World top 30 crude oil refining capacities* countries</t>
  </si>
  <si>
    <t>(Thousand barrels daily)</t>
  </si>
  <si>
    <t>S.No</t>
  </si>
  <si>
    <t>ADDITION</t>
  </si>
  <si>
    <t>% CHANGE</t>
  </si>
  <si>
    <t xml:space="preserve"> * Atmospheric distillation capacity at year end on a calendar-day basis.</t>
  </si>
  <si>
    <t>State</t>
  </si>
  <si>
    <t>Onshore</t>
  </si>
  <si>
    <t xml:space="preserve">Assam </t>
  </si>
  <si>
    <t>Arunachal Pradesh</t>
  </si>
  <si>
    <t>Andhra Pradesh</t>
  </si>
  <si>
    <t xml:space="preserve">Gujarat </t>
  </si>
  <si>
    <t>Rajasthan</t>
  </si>
  <si>
    <t>Tamil Nadu</t>
  </si>
  <si>
    <t>West Bengal</t>
  </si>
  <si>
    <t xml:space="preserve">A. Onshore Total Production </t>
  </si>
  <si>
    <t>Offshore</t>
  </si>
  <si>
    <t>Eastern Offshore</t>
  </si>
  <si>
    <t>Western Offshore</t>
  </si>
  <si>
    <t>Gujarat Offshore</t>
  </si>
  <si>
    <t xml:space="preserve">B. Offshore Total Production </t>
  </si>
  <si>
    <t xml:space="preserve">Total Production (A+B) </t>
  </si>
  <si>
    <t>(in MMSCM)</t>
  </si>
  <si>
    <t>ONGC+OIL</t>
  </si>
  <si>
    <t>Net Production</t>
  </si>
  <si>
    <t xml:space="preserve">Private / JVCs </t>
  </si>
  <si>
    <t>TOTAL</t>
  </si>
  <si>
    <t xml:space="preserve">Gross Production </t>
  </si>
  <si>
    <t>Note: Source: ONGC, OIL &amp; DGH</t>
  </si>
  <si>
    <t>(P): Provisional</t>
  </si>
  <si>
    <t>Table 2.5B : Indigenous Crude Oil and Condensate production</t>
  </si>
  <si>
    <t>(MMT)</t>
  </si>
  <si>
    <t>ONGC</t>
  </si>
  <si>
    <t>OIL</t>
  </si>
  <si>
    <t xml:space="preserve">            PSU total (crore barrels)</t>
  </si>
  <si>
    <t>Under PSC contracts</t>
  </si>
  <si>
    <t>Panna / Mukta</t>
  </si>
  <si>
    <t>KG-ONN-2003/1</t>
  </si>
  <si>
    <t>Ravva</t>
  </si>
  <si>
    <t>Kharsang</t>
  </si>
  <si>
    <t>Gujarat- on shore</t>
  </si>
  <si>
    <t>Gujarat- off shore</t>
  </si>
  <si>
    <t>KG-DWN-98/3(M.A.Oil)</t>
  </si>
  <si>
    <t>CY-ONN-2002/2</t>
  </si>
  <si>
    <t>CY-ONN-2004/2</t>
  </si>
  <si>
    <t>Total crude oil</t>
  </si>
  <si>
    <t>Condensate</t>
  </si>
  <si>
    <t>Total (crude oil + condensate)</t>
  </si>
  <si>
    <t>Total (crude oil + condensate) (crore barrels)</t>
  </si>
  <si>
    <t>Table 2.6 : Self sufficiency in petroleum products</t>
  </si>
  <si>
    <t>i) Indigenous crude oil processing</t>
  </si>
  <si>
    <t>a) Products from indigeneous crude</t>
  </si>
  <si>
    <t>b) Products from fractionators</t>
  </si>
  <si>
    <t>ii) Total production from indigenous crude and condensate (a+b)</t>
  </si>
  <si>
    <t>iii) Total domestic consumption</t>
  </si>
  <si>
    <t>ROUND</t>
  </si>
  <si>
    <t>OPERATIONAL</t>
  </si>
  <si>
    <t>DEEP WATER</t>
  </si>
  <si>
    <t>SHALLOW WATER</t>
  </si>
  <si>
    <t>ONLAND</t>
  </si>
  <si>
    <t>NELP-I</t>
  </si>
  <si>
    <t>NELP-II</t>
  </si>
  <si>
    <t>NELP-III</t>
  </si>
  <si>
    <t>NELP-IV</t>
  </si>
  <si>
    <t>NELP-V</t>
  </si>
  <si>
    <t>NELP-VI</t>
  </si>
  <si>
    <t>NELP-VII</t>
  </si>
  <si>
    <t>NELP-VIII</t>
  </si>
  <si>
    <t>NELP-IX</t>
  </si>
  <si>
    <t>DEEP/ ULTRA DEEP WATER</t>
  </si>
  <si>
    <t>OALP</t>
  </si>
  <si>
    <t>OALP Round-I</t>
  </si>
  <si>
    <t>OALP Round-III</t>
  </si>
  <si>
    <t>OALP Round-V</t>
  </si>
  <si>
    <t>OALP Round-VII</t>
  </si>
  <si>
    <t>OALP Total</t>
  </si>
  <si>
    <t>DSF</t>
  </si>
  <si>
    <t>DSF  Round-I</t>
  </si>
  <si>
    <t>DSF  Round-II</t>
  </si>
  <si>
    <t>DSF Total</t>
  </si>
  <si>
    <r>
      <t>Source:</t>
    </r>
    <r>
      <rPr>
        <sz val="11"/>
        <color theme="1"/>
        <rFont val="Book Antiqua"/>
        <family val="1"/>
      </rPr>
      <t xml:space="preserve"> DGH </t>
    </r>
  </si>
  <si>
    <t>Note: NELP: New Exploration Licensing Policy</t>
  </si>
  <si>
    <t>HELP: Hydrocarbon Exploration Licensing Policy</t>
  </si>
  <si>
    <t>OALP: Open Acreage Licensing Policy Round</t>
  </si>
  <si>
    <t>DSP: Discovered Small and Marginal Fields</t>
  </si>
  <si>
    <t>Home</t>
  </si>
  <si>
    <t>Table 2.8 : Domestic Oil &amp; Gas Production vis a vis Overseas Production</t>
  </si>
  <si>
    <t>Year</t>
  </si>
  <si>
    <t>Total domestic production (MMTOE)</t>
  </si>
  <si>
    <t>Overseas production by Indian Companies  (MMTOE)</t>
  </si>
  <si>
    <t>Overseas production as percentage of domestic production</t>
  </si>
  <si>
    <t>Parameter</t>
  </si>
  <si>
    <t>Value</t>
  </si>
  <si>
    <t>Prognosticated CBM resources</t>
  </si>
  <si>
    <t>TCF</t>
  </si>
  <si>
    <t>Established CBM resources</t>
  </si>
  <si>
    <t>Sq. KM</t>
  </si>
  <si>
    <t>Total available coal bearing areas with MoPNG/DGH</t>
  </si>
  <si>
    <t>Area awarded</t>
  </si>
  <si>
    <t xml:space="preserve">Blocks awarded* </t>
  </si>
  <si>
    <t>Nos.</t>
  </si>
  <si>
    <t>Exploration initiated (Area considered if any boreholes were drilled in the awarded block)</t>
  </si>
  <si>
    <t>Production of CBM gas </t>
  </si>
  <si>
    <t>*Total number of blocks awarded is 40 however, one block was awarded twice.</t>
  </si>
  <si>
    <t>Policy</t>
  </si>
  <si>
    <t xml:space="preserve">Details </t>
  </si>
  <si>
    <t>Policy Guidelines for Exploration &amp; exploitation of Shale gas and oil</t>
  </si>
  <si>
    <t>Under Hydrocarbon Exploration and Licensing Policy (HELP), 2016, all types of hydrocarbon resources, both Conventional and Unconventional including CBM, shale gas/oil, tight gas and gas hydrates were allowed to be explored and exploited.</t>
  </si>
  <si>
    <t>In August 2018, the Government of India notified a Policy framework for Exploration and exploitation of Unconventional hydrocarbons in existing acreages under existing Production Sharing Contracts (PSC), Coal Bed Methane (CBM) Contracts and Nomination fields.</t>
  </si>
  <si>
    <t xml:space="preserve">Exploration Activities </t>
  </si>
  <si>
    <t>Company</t>
  </si>
  <si>
    <t>Basin</t>
  </si>
  <si>
    <t>Phase-I Blocks</t>
  </si>
  <si>
    <t>MWP* Wells</t>
  </si>
  <si>
    <t>Blocks Taken up for Drilling</t>
  </si>
  <si>
    <t>Actual Wells Drilled</t>
  </si>
  <si>
    <t>ONGC : Activities up to 2023-24</t>
  </si>
  <si>
    <t>Cambay</t>
  </si>
  <si>
    <t>KG</t>
  </si>
  <si>
    <t>Cauvery</t>
  </si>
  <si>
    <t>Assam</t>
  </si>
  <si>
    <t>OIL : Activities up to 2023-24</t>
  </si>
  <si>
    <t>Jaisalmer</t>
  </si>
  <si>
    <t>Grand Total</t>
  </si>
  <si>
    <t>*MWP : Minimum Work Programme</t>
  </si>
  <si>
    <t>Chapter-3</t>
  </si>
  <si>
    <t xml:space="preserve">1.       Domestic Natural Gas production: </t>
  </si>
  <si>
    <t>3.       LNG terminals capacity utilization:</t>
  </si>
  <si>
    <t xml:space="preserve">4.       CGD Networks: </t>
  </si>
  <si>
    <t>Table 3.1 : World top 30 natural gas reserve countries</t>
  </si>
  <si>
    <t>Turkmenistan</t>
  </si>
  <si>
    <t>Ukraine</t>
  </si>
  <si>
    <t>Uzbekistan</t>
  </si>
  <si>
    <t>Israel</t>
  </si>
  <si>
    <t>Myanmar</t>
  </si>
  <si>
    <t xml:space="preserve">Others </t>
  </si>
  <si>
    <t xml:space="preserve">                 European Union</t>
  </si>
  <si>
    <t>Table 3.2 : World top 30 Natural Gas Producing countries</t>
  </si>
  <si>
    <t xml:space="preserve">Sr. No. </t>
  </si>
  <si>
    <t>Pakistan</t>
  </si>
  <si>
    <t>Trinidad &amp; Tobago</t>
  </si>
  <si>
    <t xml:space="preserve">Sub total </t>
  </si>
  <si>
    <t>of which:  OECD</t>
  </si>
  <si>
    <t xml:space="preserve">                Non-OECD</t>
  </si>
  <si>
    <t xml:space="preserve">           #  European Union </t>
  </si>
  <si>
    <t>Table 3.3 : World top 30 Natural Gas consuming countries</t>
  </si>
  <si>
    <t>Table 3.4 : Natural Gas at a glance</t>
  </si>
  <si>
    <t xml:space="preserve"> (MMSCM)</t>
  </si>
  <si>
    <t>Past data change</t>
  </si>
  <si>
    <t>Gross production</t>
  </si>
  <si>
    <t>Current data</t>
  </si>
  <si>
    <t>LNG import*</t>
  </si>
  <si>
    <t>Total consumption (in BCM)</t>
  </si>
  <si>
    <t xml:space="preserve">Table 3.5 : Natural Gas production </t>
  </si>
  <si>
    <t>(MMSCM)</t>
  </si>
  <si>
    <t xml:space="preserve">ONGC </t>
  </si>
  <si>
    <t>A)                   Gross Production</t>
  </si>
  <si>
    <t>B)                   Flared</t>
  </si>
  <si>
    <t>C)                   Internal Use</t>
  </si>
  <si>
    <t>D)                   Loss</t>
  </si>
  <si>
    <t>D) =A-B-C       Net Production for Sale</t>
  </si>
  <si>
    <t>Oil India Limited</t>
  </si>
  <si>
    <t>A)                    Gross Production</t>
  </si>
  <si>
    <t>B)                    Flared</t>
  </si>
  <si>
    <t xml:space="preserve">PSC/JVs fields </t>
  </si>
  <si>
    <t>E) =A-B-C-D       Net Production for Sale</t>
  </si>
  <si>
    <r>
      <rPr>
        <b/>
        <sz val="11"/>
        <rFont val="Book Antiqua"/>
        <family val="1"/>
      </rPr>
      <t>Source:</t>
    </r>
    <r>
      <rPr>
        <sz val="11"/>
        <rFont val="Book Antiqua"/>
        <family val="1"/>
      </rPr>
      <t xml:space="preserve"> Domestic Gas Producers / DGH / LNG Importing companies/DGCIS (in some cases DGCIS data is prorated)</t>
    </r>
  </si>
  <si>
    <r>
      <t>Note:</t>
    </r>
    <r>
      <rPr>
        <sz val="11"/>
        <rFont val="Book Antiqua"/>
        <family val="1"/>
      </rPr>
      <t xml:space="preserve"> LNG import data in Million Metric Tonne (MMT), converted to MMSCM; 1MMT=1325 MMSCM</t>
    </r>
  </si>
  <si>
    <t>BCM: Billion Cubic Meter; MMSCMD: Million Standard Cubic Meter per Day</t>
  </si>
  <si>
    <t>Working for Charts-Not to be used for filling</t>
  </si>
  <si>
    <t>Net Domestic Production for sales</t>
  </si>
  <si>
    <t>2023-24</t>
  </si>
  <si>
    <t>PSC/JV's fields</t>
  </si>
  <si>
    <t>Import dependency of NG(%)</t>
  </si>
  <si>
    <t>Table 3.5A: State wise Natural Gas Production in MMSCM</t>
  </si>
  <si>
    <t>Onshore/ CBM/ Offshore</t>
  </si>
  <si>
    <t>FY</t>
  </si>
  <si>
    <t>A. Onshore</t>
  </si>
  <si>
    <t>Assam &amp; Arunachal Pradesh</t>
  </si>
  <si>
    <t>Tripura</t>
  </si>
  <si>
    <t>Jharkhand (CBM)</t>
  </si>
  <si>
    <t>B. CBM</t>
  </si>
  <si>
    <t>Madhya Pradesh (CBM)</t>
  </si>
  <si>
    <t>West Bengal (CBM)</t>
  </si>
  <si>
    <t xml:space="preserve">Onshore Total </t>
  </si>
  <si>
    <t>A+B</t>
  </si>
  <si>
    <t>Mumbai High + Eastern Offshore</t>
  </si>
  <si>
    <t>C</t>
  </si>
  <si>
    <t>Offshore Total</t>
  </si>
  <si>
    <t>A+B+C</t>
  </si>
  <si>
    <t>State/Union Territory</t>
  </si>
  <si>
    <t>Geographical Area/
CGD Networks</t>
  </si>
  <si>
    <t xml:space="preserve">Authorized CGD Entity </t>
  </si>
  <si>
    <t>Anantapur and YSR (Kadapa) Districts</t>
  </si>
  <si>
    <t xml:space="preserve">AGP City Gas Private Limited </t>
  </si>
  <si>
    <t>East Godavari District (EAAA)</t>
  </si>
  <si>
    <t>Godavari Gas Private Limited</t>
  </si>
  <si>
    <t xml:space="preserve">Kakinada </t>
  </si>
  <si>
    <t>Bhagyanagar Gas Limited</t>
  </si>
  <si>
    <t>Krishna District (EAAA)</t>
  </si>
  <si>
    <t>Megha City Gas Distribution Private Limited</t>
  </si>
  <si>
    <t>Sri Potti Sriramulu Nellore District</t>
  </si>
  <si>
    <t>Srikakulam, Visakhapatnam &amp; Vizianagaram Districts</t>
  </si>
  <si>
    <t>Indian Oil Corporation Limited</t>
  </si>
  <si>
    <t xml:space="preserve">West Godavari District    </t>
  </si>
  <si>
    <t>Andhra Pradesh Total</t>
  </si>
  <si>
    <t>Andhra Pradesh, Karnataka &amp; Tamil Nadu</t>
  </si>
  <si>
    <t xml:space="preserve">Chittoor, Kolar and Vellore Districts </t>
  </si>
  <si>
    <t>Andhra Pradesh, Karnataka &amp; Tamil Nadu Total</t>
  </si>
  <si>
    <t>Cachar, Hailakandi &amp; Karimganj Districts</t>
  </si>
  <si>
    <t>Purba Bharati Gas Private Limited</t>
  </si>
  <si>
    <t>Kamrup &amp; Kamrup Metropolitan Districts</t>
  </si>
  <si>
    <t xml:space="preserve">Upper Assam  </t>
  </si>
  <si>
    <t>Assam Gas Company Limited</t>
  </si>
  <si>
    <t>Assam Total</t>
  </si>
  <si>
    <t>Bihar</t>
  </si>
  <si>
    <t>Araria, Purnia, Katihar and Kishanganj Districts</t>
  </si>
  <si>
    <t>Arwal, Jehanabad, Bhojpur and Buxar Districts</t>
  </si>
  <si>
    <t>Aurangabad, Kaimur &amp; Rohtas Districts</t>
  </si>
  <si>
    <t>Begusarai District</t>
  </si>
  <si>
    <t>Think Gas Begusarai Private Limited</t>
  </si>
  <si>
    <t>Darbhanga, Madhubani, Supaul, Sitamarhi and Sheohar districts</t>
  </si>
  <si>
    <t>Bharat Petroleum Corporation Limited</t>
  </si>
  <si>
    <t>Gaya &amp; Nalanda Districts</t>
  </si>
  <si>
    <t>Indian-Oil Adani Gas Private Limited</t>
  </si>
  <si>
    <t>Khagaria, Saharsa and Madhepura Districts</t>
  </si>
  <si>
    <t>Lakhisarai, Munger and Bhagalpur Districts</t>
  </si>
  <si>
    <t>Muzaffarpur, Vaishali, Saran and Samastipur Districts</t>
  </si>
  <si>
    <t>Patna District</t>
  </si>
  <si>
    <t xml:space="preserve">GAIL (India) Limited </t>
  </si>
  <si>
    <t>Bihar Total</t>
  </si>
  <si>
    <t>Bihar &amp; Jharkhand</t>
  </si>
  <si>
    <t>Nawada and Koderma Districts</t>
  </si>
  <si>
    <t>Sheikhpura, Jamui and Deoghar Districts</t>
  </si>
  <si>
    <t>Bihar &amp; Jharkhand Total</t>
  </si>
  <si>
    <t>Bihar &amp; Uttar Pradesh</t>
  </si>
  <si>
    <t>Gopalganj, Siwan, West Champaran, East Champaran and Deoria districts</t>
  </si>
  <si>
    <t>Bihar &amp; Uttar Pradesh Total</t>
  </si>
  <si>
    <t>Chandigarh (UT), Haryana, Punjab &amp; Himachal Pradesh</t>
  </si>
  <si>
    <t xml:space="preserve">Chandigarh </t>
  </si>
  <si>
    <t>Chandigarh (UT), Haryana, Punjab &amp; Himachal Pradesh Total</t>
  </si>
  <si>
    <t>Chhattisgarh</t>
  </si>
  <si>
    <t>Koriya,  Surajpur, Balrampur and Surguja districts</t>
  </si>
  <si>
    <t>Chhattisgarh Total</t>
  </si>
  <si>
    <t>Dadra &amp; Nagar Haveli (UT)</t>
  </si>
  <si>
    <t xml:space="preserve">UT of Dadra &amp; Nagar Haveli  </t>
  </si>
  <si>
    <t>Gujarat Gas Limited</t>
  </si>
  <si>
    <t>Dadra &amp; Nagar Haveli (UT) Total</t>
  </si>
  <si>
    <t>Daman &amp; Diu (UT)</t>
  </si>
  <si>
    <t xml:space="preserve">UT of Daman  </t>
  </si>
  <si>
    <t>Daman &amp; Diu (UT) Total</t>
  </si>
  <si>
    <t>Daman and Diu &amp; Gujarat</t>
  </si>
  <si>
    <t>Diu &amp; Gir Somnath Districts</t>
  </si>
  <si>
    <t>IRM Energy Private Limited</t>
  </si>
  <si>
    <t>Daman and Diu &amp; Gujarat Total</t>
  </si>
  <si>
    <t>Goa</t>
  </si>
  <si>
    <t>North Goa District</t>
  </si>
  <si>
    <t xml:space="preserve">Goa Natural Gas Private Limited </t>
  </si>
  <si>
    <t>South Goa District</t>
  </si>
  <si>
    <t>Goa Total</t>
  </si>
  <si>
    <t>Ahmedabad City and Daskroi Area</t>
  </si>
  <si>
    <t>Adani Total Gas Limited</t>
  </si>
  <si>
    <t>Ahmedabad District (EAAA)</t>
  </si>
  <si>
    <t xml:space="preserve">Amreli District </t>
  </si>
  <si>
    <t>Anand area including Kanjari &amp; Vadtal Villages (in Kheda District)</t>
  </si>
  <si>
    <t>Charotar Gas Sahakari Mandali Limited</t>
  </si>
  <si>
    <t>Anand District (EAAA)</t>
  </si>
  <si>
    <t xml:space="preserve">Banaskantha District </t>
  </si>
  <si>
    <t>Barwala &amp; Ranpur Talukas</t>
  </si>
  <si>
    <t xml:space="preserve">Bhavnagar  </t>
  </si>
  <si>
    <t>Dahej Vagra Taluka</t>
  </si>
  <si>
    <t>Dahod District</t>
  </si>
  <si>
    <t xml:space="preserve">Gandhinagar Mehsana Sabarkantha  </t>
  </si>
  <si>
    <t>Sabarmati Gas Limited</t>
  </si>
  <si>
    <t>Gandhinagar###</t>
  </si>
  <si>
    <t>Hazira</t>
  </si>
  <si>
    <t>Jamnagar</t>
  </si>
  <si>
    <t>Junagadh District</t>
  </si>
  <si>
    <t>Torrent Gas Private Limited</t>
  </si>
  <si>
    <t>Kheda District (EAAA) &amp; Mahisagar District</t>
  </si>
  <si>
    <t xml:space="preserve">Kutch (West)  </t>
  </si>
  <si>
    <t>Nadiad</t>
  </si>
  <si>
    <t>Narmada (Rajpipla) District</t>
  </si>
  <si>
    <t xml:space="preserve">Navsari </t>
  </si>
  <si>
    <t>Navsari District (EAAA), Surat District (EAAA), Tapi District (EAAA) &amp; the Dangs District</t>
  </si>
  <si>
    <t>Panchmahal District</t>
  </si>
  <si>
    <t>Patan District</t>
  </si>
  <si>
    <t>Rajkot</t>
  </si>
  <si>
    <t>Surat, Bharuch, Ankleshwar</t>
  </si>
  <si>
    <t xml:space="preserve">Surendranagar </t>
  </si>
  <si>
    <t>Surendranagar District (EAAA) &amp; Morbi District (EAAA)</t>
  </si>
  <si>
    <t>Vadodara</t>
  </si>
  <si>
    <t>Vadodara Gas Limited</t>
  </si>
  <si>
    <t>Vadodara**</t>
  </si>
  <si>
    <t>Valsad</t>
  </si>
  <si>
    <t>Gujarat Total</t>
  </si>
  <si>
    <t>Haryana</t>
  </si>
  <si>
    <t>Ambala &amp; Kurukshetra Districts</t>
  </si>
  <si>
    <t>HPOIL Gas Private Limited</t>
  </si>
  <si>
    <t>Bhiwani, Charkhi Dadri &amp; Mahendragarh Districts</t>
  </si>
  <si>
    <t>Faridabad-2</t>
  </si>
  <si>
    <t>Gurugram(IGL)***</t>
  </si>
  <si>
    <t>Indraprastha Gas Limited</t>
  </si>
  <si>
    <t>Gurugram-2</t>
  </si>
  <si>
    <t>Haryana City Gas Distribution Limited</t>
  </si>
  <si>
    <t>Hisar District</t>
  </si>
  <si>
    <t>HCG  (KCE) Private Limited</t>
  </si>
  <si>
    <t>Jhajjar District</t>
  </si>
  <si>
    <t>Haryana City Gas (KCE) Private Limited</t>
  </si>
  <si>
    <t>Kaithal District</t>
  </si>
  <si>
    <t>Karnal District</t>
  </si>
  <si>
    <t>Nuh and Palwal Distircts</t>
  </si>
  <si>
    <t>Panipat District</t>
  </si>
  <si>
    <t>Rewari District</t>
  </si>
  <si>
    <t>Rohtak District</t>
  </si>
  <si>
    <t xml:space="preserve">Sonipat </t>
  </si>
  <si>
    <t>GAIL Gas Limited</t>
  </si>
  <si>
    <t>Sonipat District (EAAA) &amp; Jind District</t>
  </si>
  <si>
    <t>Hindustan Petroleum Corporation Limited</t>
  </si>
  <si>
    <t>Yamunanagar District</t>
  </si>
  <si>
    <t>Haryana Total</t>
  </si>
  <si>
    <t>Haryana &amp; Himachal Pradesh</t>
  </si>
  <si>
    <t>Panchkula District (EAAA), Sirmaur, Shimla &amp; Solan (EAAA) Districts</t>
  </si>
  <si>
    <t>Haryana &amp; Himachal Pradesh Total</t>
  </si>
  <si>
    <t>Haryana &amp; Punjab</t>
  </si>
  <si>
    <t>Sirsa, Fatehabad and Mansa (Punjab) Districts</t>
  </si>
  <si>
    <t>Haryana &amp; Punjab Total</t>
  </si>
  <si>
    <t>Himachal Pradesh</t>
  </si>
  <si>
    <t>Bilaspur, Hamirpur &amp; Una Districts</t>
  </si>
  <si>
    <t>Himachal Pradesh Total</t>
  </si>
  <si>
    <t>Jharkhand</t>
  </si>
  <si>
    <t>Bokaro, Hazaribagh &amp; Ramgarh Districts</t>
  </si>
  <si>
    <t>Chatra and Palamu Districts</t>
  </si>
  <si>
    <t>East Singhbhum District</t>
  </si>
  <si>
    <t>Giridih &amp; Dhanbad Districts</t>
  </si>
  <si>
    <t>Ranchi District</t>
  </si>
  <si>
    <t>Seraikela-Kharsawan District</t>
  </si>
  <si>
    <t>West Singhbhum District</t>
  </si>
  <si>
    <t>Jharkhand Total</t>
  </si>
  <si>
    <t>Karnataka</t>
  </si>
  <si>
    <t>Bagalkot, Koppal and Raichur Districts</t>
  </si>
  <si>
    <t>Ballari &amp; Gadag Districts</t>
  </si>
  <si>
    <t>Belgaum District</t>
  </si>
  <si>
    <t xml:space="preserve">Bengaluru Rural and Urban Districts </t>
  </si>
  <si>
    <t>Bidar District</t>
  </si>
  <si>
    <t>Chikkamagaluru, Hassan and Kodagu Districts</t>
  </si>
  <si>
    <t>Chitradurga &amp; Davanagere Districts</t>
  </si>
  <si>
    <t>Unison Enviro Private Limited</t>
  </si>
  <si>
    <t>Dakshina Kannada District*</t>
  </si>
  <si>
    <t>Dharwad  District</t>
  </si>
  <si>
    <t>Kalaburagi and Vijayapura Districts</t>
  </si>
  <si>
    <t>Mysuru, Mandya and Chamarajanagar Districts</t>
  </si>
  <si>
    <t>Ramanagara District</t>
  </si>
  <si>
    <t>Maharashtra Natural Gas Limited</t>
  </si>
  <si>
    <t>Tumkur District</t>
  </si>
  <si>
    <t>Uttara Kannada, Haveri and Shivamogga Districts</t>
  </si>
  <si>
    <t>Karnataka Total</t>
  </si>
  <si>
    <t>Kerala</t>
  </si>
  <si>
    <t>Alapuzzha, Kollam and Thiruvananthapuram Districts</t>
  </si>
  <si>
    <t>Ernakulam District</t>
  </si>
  <si>
    <t>Kozhikode &amp; Wayanad Districts</t>
  </si>
  <si>
    <t>Malappuram District</t>
  </si>
  <si>
    <t>Palakkad &amp; Thrissur Districts</t>
  </si>
  <si>
    <t>Kerala Total</t>
  </si>
  <si>
    <t>Kerala &amp; Puducherry</t>
  </si>
  <si>
    <t>Kannur, Kasaragod &amp; Mahe Districts</t>
  </si>
  <si>
    <t>Kerala &amp; Puducherry Total</t>
  </si>
  <si>
    <t>Madhya Pradesh</t>
  </si>
  <si>
    <t>Ashoknagar District</t>
  </si>
  <si>
    <t>Betul, Chhindwara, Seoni and Balaghat districts</t>
  </si>
  <si>
    <t>Bhopal &amp; Rajgarh Districts</t>
  </si>
  <si>
    <t>Think Gas Bhopal Private Limited</t>
  </si>
  <si>
    <t xml:space="preserve">Dewas </t>
  </si>
  <si>
    <t>Dhar District</t>
  </si>
  <si>
    <t>Naveriya Gas Private Limited</t>
  </si>
  <si>
    <t>Guna District</t>
  </si>
  <si>
    <t xml:space="preserve">Gwalior </t>
  </si>
  <si>
    <t>Aavantika Gas Limited</t>
  </si>
  <si>
    <t>Gwalior (EAAA) District and Sheopur District</t>
  </si>
  <si>
    <t>Rajasthan State Gas Limited</t>
  </si>
  <si>
    <t xml:space="preserve">Indore (including Ujjain City) </t>
  </si>
  <si>
    <t>Morena District</t>
  </si>
  <si>
    <t>Raisen, Shajapur and Sehore Districts</t>
  </si>
  <si>
    <t>Rewa District</t>
  </si>
  <si>
    <t>Satna &amp; Shandol Districts</t>
  </si>
  <si>
    <t>Shivpuri District</t>
  </si>
  <si>
    <t>Sidhi and Singrauli Districts</t>
  </si>
  <si>
    <t>Ujjain (EAAA) District, Dewas (EAAA) District and Indore (EAAA) District</t>
  </si>
  <si>
    <t>Madhya Pradesh Total</t>
  </si>
  <si>
    <t>Madhya Pradesh and Rajasthan</t>
  </si>
  <si>
    <t>Jhabua, Banswara, Ratlam and Dungarpur Districts</t>
  </si>
  <si>
    <t>Madhya Pradesh and Rajasthan Total</t>
  </si>
  <si>
    <t>Madhya Pradesh and Uttar Pradesh</t>
  </si>
  <si>
    <t>Jhansi (EAAA) District, Bhind, Jalaun, Lalitpur and Datia Districts</t>
  </si>
  <si>
    <t>Madhya Pradesh and Uttar Pradesh Total</t>
  </si>
  <si>
    <t>Maharashtra</t>
  </si>
  <si>
    <t>Ahmednagar &amp; Aurangabad Districts</t>
  </si>
  <si>
    <t>Kolhapur District</t>
  </si>
  <si>
    <t>Latur &amp; Osmanabad Districts</t>
  </si>
  <si>
    <t>Mumbai &amp; Greater Mumbai</t>
  </si>
  <si>
    <t>Mahanagar Gas Limited</t>
  </si>
  <si>
    <t>Nagpur district</t>
  </si>
  <si>
    <t xml:space="preserve">HCG Nagpur Private Limited </t>
  </si>
  <si>
    <t>Palghar District &amp; Thane Rural</t>
  </si>
  <si>
    <t>Pune City including Pimpri - Chichwad &amp; adjoining contigeneous areas  Hinjewadi, Chakan, Talegaon</t>
  </si>
  <si>
    <t>Pune District (EAAA)</t>
  </si>
  <si>
    <t>Raigarh District (EAAA)</t>
  </si>
  <si>
    <t>Ratnagiri District</t>
  </si>
  <si>
    <t>Sangli &amp; Satara Districts</t>
  </si>
  <si>
    <t>Sindhudurg District</t>
  </si>
  <si>
    <t>Solapur District</t>
  </si>
  <si>
    <t>IMC Limited</t>
  </si>
  <si>
    <t>Thane urban and adjoining Municipalities</t>
  </si>
  <si>
    <t>Maharashtra Total</t>
  </si>
  <si>
    <t>Maharashtra &amp; Gujarat</t>
  </si>
  <si>
    <t>Valsad (EAAA), Dhule &amp; Nashik Districts</t>
  </si>
  <si>
    <t>Maharashtra &amp; Gujarat Total</t>
  </si>
  <si>
    <t>National Capital Territory of Delhi (UT)</t>
  </si>
  <si>
    <t>National Capital Territory of Delhi</t>
  </si>
  <si>
    <t>National Capital Territory of Delhi (UT) Total</t>
  </si>
  <si>
    <t>Odisha</t>
  </si>
  <si>
    <t>Angul &amp; Dhekanal Districts</t>
  </si>
  <si>
    <t>Bargarh, Debagarh &amp; Sambalpur Districts</t>
  </si>
  <si>
    <t>Cuttack District</t>
  </si>
  <si>
    <t>Ganjam, Nayagarh &amp; Puri Districts</t>
  </si>
  <si>
    <t>Jagatsinghpur &amp; Kendrapara Districts</t>
  </si>
  <si>
    <t>Jajpur &amp; Kendujhar Districts</t>
  </si>
  <si>
    <t>Khordha District</t>
  </si>
  <si>
    <t>Rayagada, Kalahandi, Bolangir and Nuapada districts</t>
  </si>
  <si>
    <t>Sundargarh &amp; Jharsuguda Districts</t>
  </si>
  <si>
    <t>Odisha Total</t>
  </si>
  <si>
    <t>Puducherry &amp; Tamil Nadu</t>
  </si>
  <si>
    <t>Karaikal &amp; Nagapattinam Districts</t>
  </si>
  <si>
    <t>Puducherry &amp; Tamil Nadu Total</t>
  </si>
  <si>
    <t>Punjab</t>
  </si>
  <si>
    <t>Amritsar  District</t>
  </si>
  <si>
    <t>Bhatinda  District</t>
  </si>
  <si>
    <t>Fatehgarh Sahib District</t>
  </si>
  <si>
    <t>Ferozepur, Faridkot and Sri Muktsar Sahib Districts</t>
  </si>
  <si>
    <t>Hoshiarpur and Gurdaspur Districts</t>
  </si>
  <si>
    <t>Jalandhar District (EAAA), Kapurthala &amp; SBS Nagar Districts</t>
  </si>
  <si>
    <t>Think Gas Ludhiana Private Limited</t>
  </si>
  <si>
    <t>Ludhiana District (EAAA), Barnala &amp; Moga Districts</t>
  </si>
  <si>
    <t>Rupnagar District</t>
  </si>
  <si>
    <t>SAS Nagar District (EAAA), Patiala &amp; Sangrur Districts</t>
  </si>
  <si>
    <t>Punjab Total</t>
  </si>
  <si>
    <t>Punjab &amp; Rajasthan</t>
  </si>
  <si>
    <t>Fazilka (except area already authorized), Ganganagar and Hanumangarh districts</t>
  </si>
  <si>
    <t>Punjab &amp; Rajasthan Total</t>
  </si>
  <si>
    <t>Ajmer, Pali and Rajsamand Districts</t>
  </si>
  <si>
    <t>Alwar (Other than Bhiwadi) &amp; Jaipur Districts</t>
  </si>
  <si>
    <t>Torrent Gas Jaipur Private Limited</t>
  </si>
  <si>
    <t>Barmer, Jaisalmer &amp; Jodhpur Districts</t>
  </si>
  <si>
    <t>AGP CGD India Private Limited</t>
  </si>
  <si>
    <t>Bhilwara &amp; Bundi Districts</t>
  </si>
  <si>
    <t>Bhiwadi (in Alwar District)</t>
  </si>
  <si>
    <t>Haryana City Gas Distribution (Bhiwadi) Limited</t>
  </si>
  <si>
    <t>Chittorgarh (Other than Rawatbhata Taluka) &amp; Udaipur Districts</t>
  </si>
  <si>
    <t>Dausa, Karauli, Sawai Madhopur and Tonk districts</t>
  </si>
  <si>
    <t>Dholpur District</t>
  </si>
  <si>
    <t>Dholpur CGD Private Limited</t>
  </si>
  <si>
    <t>Jalore and Sirohi Districts</t>
  </si>
  <si>
    <t>Jhunjhunu, Sikar and Nagaur districts</t>
  </si>
  <si>
    <t xml:space="preserve">Kota </t>
  </si>
  <si>
    <t>Kota District (EAAA), Baran &amp; Chittorgarh (Only Rawatbhata Taluka) Districts</t>
  </si>
  <si>
    <t>Rajasthan Total</t>
  </si>
  <si>
    <t>Chennai &amp; Tiruvallur Districts</t>
  </si>
  <si>
    <t>Torrent Gas Chennai Private Limited</t>
  </si>
  <si>
    <t>Coimbatore District</t>
  </si>
  <si>
    <t>Dharmapuri and Krishnagiri districts</t>
  </si>
  <si>
    <t>Kanchipuram District</t>
  </si>
  <si>
    <t>Kanyakumari, Thoothukudi, Tiruneveli Kattabo and Tenkasi districts</t>
  </si>
  <si>
    <t>Madurai, Theni and Virudhnagar districts</t>
  </si>
  <si>
    <t>Namakkal and Tiruchirapalli districts</t>
  </si>
  <si>
    <t>Ramanathapuram District</t>
  </si>
  <si>
    <t>Salem District</t>
  </si>
  <si>
    <t>The Nilgiris and Erode districts</t>
  </si>
  <si>
    <t>Tiruppur District</t>
  </si>
  <si>
    <t>Tiruvannamalai, Villupuram and Kallakkurichi districts</t>
  </si>
  <si>
    <t>Tamil Nadu Total</t>
  </si>
  <si>
    <t>Telangana</t>
  </si>
  <si>
    <t>Bhadradri Kothagudem &amp; Khamman Districts</t>
  </si>
  <si>
    <t xml:space="preserve">Hyderabad  </t>
  </si>
  <si>
    <t>Jagtial, Peddapalli, Karimnagar &amp; Rajanna Sircilla Districts</t>
  </si>
  <si>
    <t>Jangaon, Jayashankar Bhupalpally, Mahabubabad, Warangal Urban &amp; Warangal Rural Districts</t>
  </si>
  <si>
    <t>Medak, Siddipet &amp; Sangareddy Districts</t>
  </si>
  <si>
    <t>Medchal-Malkajgiri, Ranga Reddy &amp; Vikarabad Districts</t>
  </si>
  <si>
    <t>Nalgonda Suryapet &amp; Yadadri Bhuvanagiri Districts</t>
  </si>
  <si>
    <t>Nizamabad, Adilabad, Nirmal, Mancherial Kumuram Bheem Asifabad and Kamareddy districts</t>
  </si>
  <si>
    <t>Telangana Total</t>
  </si>
  <si>
    <t>Telangana and Karnataka</t>
  </si>
  <si>
    <t>Jogulamba Gadwal, Nagarkurnool, Mahabubnagar, Narayanpet, Wanaparthy and Yadgir districts</t>
  </si>
  <si>
    <t>Telangana and Karnataka Total</t>
  </si>
  <si>
    <t xml:space="preserve">Agartala  </t>
  </si>
  <si>
    <t>Tripura Natural Gas Company Limited</t>
  </si>
  <si>
    <t>Gomati District</t>
  </si>
  <si>
    <t>West Tripura (EAAA) District</t>
  </si>
  <si>
    <t>Tripura Total</t>
  </si>
  <si>
    <t>Uttar Pradesh</t>
  </si>
  <si>
    <t xml:space="preserve">Agra  </t>
  </si>
  <si>
    <t>Green Gas Limited</t>
  </si>
  <si>
    <t xml:space="preserve">Allahabad </t>
  </si>
  <si>
    <t>Allahabad District (EAAA), Bhadohi &amp; Kaushambi Districts</t>
  </si>
  <si>
    <t>Amethi, Pratapgarh &amp; Raebareli Districts</t>
  </si>
  <si>
    <t>Auraiya, Kanpur Dehat &amp; Etawah Districts</t>
  </si>
  <si>
    <t>Azamgarh, Mau and Ballia Districts</t>
  </si>
  <si>
    <t>Bagpat District</t>
  </si>
  <si>
    <t>Bagpat Green Energy Private Limited</t>
  </si>
  <si>
    <t>Banda, Chitrakoot and Mahoba</t>
  </si>
  <si>
    <t xml:space="preserve">Bareilly </t>
  </si>
  <si>
    <t>Central UP Gas Limited</t>
  </si>
  <si>
    <t>Bareilly (EAAA) District, Pilibhit and Rampur Districts</t>
  </si>
  <si>
    <t>Basti and Ambedkarnagar Districts</t>
  </si>
  <si>
    <t>Bulandshahr (part) District</t>
  </si>
  <si>
    <t>Bulandshahr District (EAAA), Aligarh &amp; Hathras Districts</t>
  </si>
  <si>
    <t>Faizabad &amp; Sultanpur Districts</t>
  </si>
  <si>
    <t>Farrukhabad, Etah and Hardoi Districts</t>
  </si>
  <si>
    <t>Ghaziabad &amp; Hapur Districts</t>
  </si>
  <si>
    <t>Gonda and Barabanki Districts</t>
  </si>
  <si>
    <t>Gorakhpur, Sant Kabir Nagar &amp; Kushinagar Districts</t>
  </si>
  <si>
    <t>Jaunpur and Ghazipur Districts</t>
  </si>
  <si>
    <t>Jhansi</t>
  </si>
  <si>
    <t xml:space="preserve">Kanpur </t>
  </si>
  <si>
    <t>Kanpur (EAAA) District, Fatehpur and Hamirpur Districts</t>
  </si>
  <si>
    <t>Khurja</t>
  </si>
  <si>
    <t xml:space="preserve">Lakhimpur Kheri, Sitapur, Bahraich, Shrawasti, Balrampur, Siddharth Nagar &amp; Maharajganj districts </t>
  </si>
  <si>
    <t xml:space="preserve">Lucknow  </t>
  </si>
  <si>
    <t>Mainpuri and Kannauj Districts</t>
  </si>
  <si>
    <t xml:space="preserve">Mathura </t>
  </si>
  <si>
    <t>Meerut</t>
  </si>
  <si>
    <t>Meerut District (EAAA), Muzaffarnagar &amp; Shamli Districts</t>
  </si>
  <si>
    <t>Mirzapur, Chandauli and Sonbhadra Districts</t>
  </si>
  <si>
    <t xml:space="preserve">Moradabad </t>
  </si>
  <si>
    <t>Moradabad (EAAA) District</t>
  </si>
  <si>
    <t>Noida (including Greater Noida)</t>
  </si>
  <si>
    <t>Saharanpur District</t>
  </si>
  <si>
    <t>Shahjahanpur and Budaun Districts</t>
  </si>
  <si>
    <t>Unnao (EAAA) District</t>
  </si>
  <si>
    <t>Varanasi District</t>
  </si>
  <si>
    <t>Uttar Pradesh Total</t>
  </si>
  <si>
    <t>Uttar Pradesh &amp; Rajasthan</t>
  </si>
  <si>
    <t>Firozabad  (Taj Trapezium Zone)</t>
  </si>
  <si>
    <t>Uttar Pradesh &amp; Rajasthan Total</t>
  </si>
  <si>
    <t>Uttar Pradesh and Uttrakhand</t>
  </si>
  <si>
    <t>Bijnor and Nainital Districts</t>
  </si>
  <si>
    <t>Uttar Pradesh and Uttrakhand Total</t>
  </si>
  <si>
    <t>Uttarakhand</t>
  </si>
  <si>
    <t>Dehradun District</t>
  </si>
  <si>
    <t>Haridwar District</t>
  </si>
  <si>
    <t>Haridwar Natural Gas Limited</t>
  </si>
  <si>
    <t>Pauri Garhwal, Uttarkashi, Rudraprayag and Tehri Garhwal districts</t>
  </si>
  <si>
    <t>Gasonet Services (UK) Limited</t>
  </si>
  <si>
    <t xml:space="preserve">Udham Singh Nagar District </t>
  </si>
  <si>
    <t>Uttarakhand Total</t>
  </si>
  <si>
    <t>Alipurduar and Koch Bihar</t>
  </si>
  <si>
    <t>Birbhum, Murshidabad, Maldah &amp; Dakshin Dinajpur districts</t>
  </si>
  <si>
    <t>Burdwan District</t>
  </si>
  <si>
    <t>Darjeeling, Jalpaiguri and Uttar Dinajpur Districts</t>
  </si>
  <si>
    <t>Howrah (EAAA) District and Hoogly (EAAA) District</t>
  </si>
  <si>
    <t>Bengal Gas Company Limited</t>
  </si>
  <si>
    <t>Nadia (EAAA) District and North 24 Parganas (EAAA) District</t>
  </si>
  <si>
    <t>Purulia and Bankura districts</t>
  </si>
  <si>
    <t>South 24 Parganas (EAAA) District</t>
  </si>
  <si>
    <t>West Bengal Total</t>
  </si>
  <si>
    <t xml:space="preserve">Table 3.7: CNG Sales in India </t>
  </si>
  <si>
    <t>(Sales in TMT) #</t>
  </si>
  <si>
    <t>State (s) / Union Territory</t>
  </si>
  <si>
    <t>Company name</t>
  </si>
  <si>
    <t xml:space="preserve">2022-23 </t>
  </si>
  <si>
    <t>AGP City Gas Private Limited,Bhagyanagar Gas Limited,Godavari Gas Private Limited,Indian Oil Corporation Limited,Megha City Gas Distribution Private Limited</t>
  </si>
  <si>
    <t>Andhra Pradesh, Karnataka and Tamil Nadu</t>
  </si>
  <si>
    <t>AGP City Gas Private Limited</t>
  </si>
  <si>
    <t>Daman and Diu</t>
  </si>
  <si>
    <t>Goa Natural Gas Private Limited,Indian-Oil Adani Gas Private Limited</t>
  </si>
  <si>
    <t>Adani Total Gas Limited,Charotar Gas Sahakari Mandali Limited,Gujarat Gas Limited,Hindustan Petroleum Corporation Limited,IRM Energy Private Limited,Sabarmati Gas Limited,Torrent Gas Private Limited,Vadodara Gas  Limited</t>
  </si>
  <si>
    <t>Gujarat &amp; UT of Daman and Diu</t>
  </si>
  <si>
    <t>Adani Total Gas Limited,Bharat Petroleum Corporation Limited,GAIL Gas Limited,Haryana City Gas (KCE) Private Limited,Haryana City Gas Distribution Limited,HCG  (KCE) Private Limited,Hindustan Petroleum Corporation Limited,HPOIL Gas Private Limited,Indian-Oil Adani Gas Private Limited,Indraprastha Gas Limited</t>
  </si>
  <si>
    <t>Adani Total Gas Limited,Bharat Petroleum Corporation Limited,GAIL (India) Limited,GAIL Gas Limited,Indian Oil Corporation Limited</t>
  </si>
  <si>
    <t>Adani Total Gas Limited,AGP City Gas Private Limited,Bharat Petroleum Corporation Limited,GAIL Gas Limited,Indian-Oil Adani Gas Private Limited,Maharashtra Natural Gas Limited,Megha City Gas Distribution Private Limited,Unison Enviro Private Limited</t>
  </si>
  <si>
    <t>AGP City Gas Private Limited,Indian-Oil Adani Gas Private Limited,Sholagasco Private Limited</t>
  </si>
  <si>
    <t>Aavantika Gas Limited,Adani Total Gas Limited,Bharat Petroleum Corporation Limited,GAIL Gas Limited,Gujarat Gas Limited,Indian Oil Corporation Limited,Megha City Gas Distribution Private Limited,Naveriya Gas Private Limited,Rajasthan State Gas Limited,Think Gas Bhopal Private Limited</t>
  </si>
  <si>
    <t>Madhya Pradesh &amp; Rajasthan</t>
  </si>
  <si>
    <t>Gujarat Gas Limited,Megha City Gas Distribution Private Limited</t>
  </si>
  <si>
    <t>Adani Total Gas Limited,Bharat Petroleum Corporation Limited,Gujarat Gas Limited,HCG Nagpur Private Limited,HPOIL Gas Private Limited,IMC Limited,Indian Oil Corporation Limited,Mahanagar Gas Limited,Maharashtra Natural Gas Limited,Megha City Gas Distribution Private Limited,Torrent Gas Private Limited,Unison Enviro Private Limited</t>
  </si>
  <si>
    <t>Maharashtra and Madhya Pradesh</t>
  </si>
  <si>
    <t>Adani Total Gas Limited,Bharat Petroleum Corporation Limited,GAIL (India) Limited,GAIL Gas Limited,Megha City Gas Distribution Private Limited</t>
  </si>
  <si>
    <t>Puducherry (UT) &amp; Tamil Nadu</t>
  </si>
  <si>
    <t xml:space="preserve">Puducherry (UT) </t>
  </si>
  <si>
    <t>East Coast Natural Gas Private Limited</t>
  </si>
  <si>
    <t>Adani Total Gas Limited,Bharat Petroleum Corporation Limited,Gujarat Gas Limited,Indian Oil Corporation Limited,IRM Energy Private Limited,Megha City Gas Distribution Private Limited,Think Gas Ludhiana Private Limited,Torrent Gas Private Limited</t>
  </si>
  <si>
    <t xml:space="preserve">Punjab &amp; Rajasthan </t>
  </si>
  <si>
    <t>Adani Total Gas Limited,AGP CGD India Private Limited,Dholpur CGD Private Limited,Gasonet Services (RJ) Limited,Gujarat Gas Limited,Haryana City Gas Distribution (Bhiwadi) Limited,Hindustan Petroleum Corporation Limited,Indian Oil Corporation Limited,Indraprastha Gas Limited,Rajasthan State Gas Limited,Torrent Gas Jaipur Private Limited,Torrent Gas Private Limited</t>
  </si>
  <si>
    <t>Adani Total Gas Limited,AGP CGD India Private Limited,Bharat Petroleum Corporation Limited,Indian Oil Corporation Limited,IRM Energy Private Limited,Megha City Gas Distribution Private Limited,Torrent Gas Chennai Private Limited</t>
  </si>
  <si>
    <t>Bhagyanagar Gas Limited,Indian Oil Corporation Limited,Maharashtra Natural Gas Limited,Megha City Gas Distribution Private Limited,Torrent Gas Private Limited</t>
  </si>
  <si>
    <t>Telangana &amp; Karnataka</t>
  </si>
  <si>
    <t>Adani Total Gas Limited,Bagpat Green Energy Private Limited,Bharat Petroleum Corporation Limited,Central UP Gas Limited,GAIL (India) Limited,GAIL Gas Limited,Green Gas Limited,Hindustan Petroleum Corporation Limited,Indian-Oil Adani Gas Private Limited,Indraprastha Gas Limited,Megha City Gas Distribution Private Limited,Torrent Gas Private Limited</t>
  </si>
  <si>
    <t>Uttar Pradesh  &amp; Uttarakhand</t>
  </si>
  <si>
    <t>Uttar Pradesh &amp; Madhya Pradesh</t>
  </si>
  <si>
    <t xml:space="preserve">Uttar Pradesh &amp; Rajasthan </t>
  </si>
  <si>
    <t>GAIL Gas Limited,Gasonet Services (UK) Limited,Haridwar Natural Gas Private Limited,Indian-Oil Adani Gas Private Limited</t>
  </si>
  <si>
    <t xml:space="preserve">West Bengal </t>
  </si>
  <si>
    <t>Bengal Gas Company Limited,Bharat Petroleum Corporation Limited,Hindustan Petroleum Corporation Limited,Indian Oil Corporation Limited,Indian-Oil Adani Gas Private Limited</t>
  </si>
  <si>
    <t>CNG Stations</t>
  </si>
  <si>
    <t>Kurnool, Guntur, and Prakasam districts</t>
  </si>
  <si>
    <t>Baksa, Barpeta, Bongaigaon, Chirang, Nalbari and Bajali districts</t>
  </si>
  <si>
    <t>Kokrajhar, Dhubri, South Salmara-Mankachar and Goalpara districts</t>
  </si>
  <si>
    <t>Nagaon, Morigaon, Hojai, Karbi Anglong, West Karbi Anglong and Dima Hasao districts</t>
  </si>
  <si>
    <t>Banka (Bihar), Dumka, Godda, Jamtara, Pakur &amp; Sahibganj districts</t>
  </si>
  <si>
    <t>Jashpur, Raigarh, Janjgir-Champa and Mahasamund districts</t>
  </si>
  <si>
    <t>Kabirdham, Raj Nandgaon and Kanker districts</t>
  </si>
  <si>
    <t>Mungeli, Bemetara, Durg, Balod and Dhamtari districts</t>
  </si>
  <si>
    <t>Gujarat</t>
  </si>
  <si>
    <t>Ahmedabad City (Only for CNG)##</t>
  </si>
  <si>
    <t>Porbandar District</t>
  </si>
  <si>
    <t>Kangra and Chamba districts</t>
  </si>
  <si>
    <t>Consortium of THINK Gas Distribution Private Limited, Think Gas Investment Pte. Ltd. &amp; Think Gas Investment Pte. II Ltd</t>
  </si>
  <si>
    <t>Mandi, Kullu, Kinnaur and Lahaul &amp; Spiti districts</t>
  </si>
  <si>
    <t>Gasonet Services (HP) Limited</t>
  </si>
  <si>
    <t>Gumla, Latehar, Lohardaga, Simdega, Garhwa and Khunti districts</t>
  </si>
  <si>
    <t>Chikkaballapur district</t>
  </si>
  <si>
    <t>Udupi District</t>
  </si>
  <si>
    <t>Idukki, Kottayam and Pattanamtitta districts</t>
  </si>
  <si>
    <t>Sholagasco Private Limited</t>
  </si>
  <si>
    <t>Burhanpur, Khandwa, Khargone and Harda districts</t>
  </si>
  <si>
    <t>Damoh, Jabalpur, Katni, Mandla, Umaria and Dindori districts</t>
  </si>
  <si>
    <t>Hoshangabad, Narsinghpur, Sagar and Vidisha districts</t>
  </si>
  <si>
    <t>Tikamgarh, Niwari, Chattarpur and Panna districts</t>
  </si>
  <si>
    <t>Madhya Pradesh and Chhattisgrah</t>
  </si>
  <si>
    <t>Anuppur, Bilaspur and Korba Districts</t>
  </si>
  <si>
    <t>Agar Malwa, Neemuch, Mandsaur and Jhalawar districts</t>
  </si>
  <si>
    <t>Akola, Hingoli and Washim districts</t>
  </si>
  <si>
    <t>Amravati and Yavatmal districts</t>
  </si>
  <si>
    <t>Beed, Jalgaon and Jalna districts</t>
  </si>
  <si>
    <t>Bhandara, Gondiya and Garchiroli districts</t>
  </si>
  <si>
    <t>Buldana, Nanded and Parbhani districts</t>
  </si>
  <si>
    <t>Chandrapur and Wardha districts</t>
  </si>
  <si>
    <t>Alirajpur, Nandurbar and Barwani districts</t>
  </si>
  <si>
    <t>Maharashtra and Madhya Pradesh Total</t>
  </si>
  <si>
    <t>Balasore, Bhadrak &amp; Mayurbhanj Districts</t>
  </si>
  <si>
    <t>Koraput, Malkangiri, and Nabarangpur districts</t>
  </si>
  <si>
    <t>Puducherry</t>
  </si>
  <si>
    <t xml:space="preserve">
Yanam</t>
  </si>
  <si>
    <t>HCG Yanam Private Limited</t>
  </si>
  <si>
    <t>Puducherry District</t>
  </si>
  <si>
    <t xml:space="preserve">East Coast Natural Gas Private Limited </t>
  </si>
  <si>
    <t>Puducherry Total</t>
  </si>
  <si>
    <t>Ludhiana*</t>
  </si>
  <si>
    <t>Jay Madhok Energy Private Limited led Consortium</t>
  </si>
  <si>
    <t>Pathankot district</t>
  </si>
  <si>
    <t>Tarn Taran district</t>
  </si>
  <si>
    <t>Bikaner and Churu districts</t>
  </si>
  <si>
    <t>Gasonet Services (RJ) Limited</t>
  </si>
  <si>
    <t>Ariyalur and Perambalur districts</t>
  </si>
  <si>
    <t>Cuddalore, Nagapattinam &amp; Tiruvarur Districts</t>
  </si>
  <si>
    <t>Dindigul and Karur districts</t>
  </si>
  <si>
    <t>Pudukottai, Sivaganga and Thanjavur districts</t>
  </si>
  <si>
    <t>UT of Jammu and Kashmir</t>
  </si>
  <si>
    <t>Jammu, Udhampur, Reasi, Samba and Kathua districts</t>
  </si>
  <si>
    <t>UT of Jammu and Kashmir Total</t>
  </si>
  <si>
    <t>Amroha (except area already authorized) &amp; Sambhal (except area already authorized) districts</t>
  </si>
  <si>
    <t>Kasganj district</t>
  </si>
  <si>
    <t>Pithoragarh, Champawat, Almora, Chamoli and Bageshwar districts</t>
  </si>
  <si>
    <t>East Mednipore, West Mednipore and Jhargram districts</t>
  </si>
  <si>
    <t>Table 3.9 : LNG Terminals (Operational)</t>
  </si>
  <si>
    <t>Location</t>
  </si>
  <si>
    <t>Promoters</t>
  </si>
  <si>
    <t>% Capacity utilisation (Apr-Feb 2022)</t>
  </si>
  <si>
    <t>Dahej</t>
  </si>
  <si>
    <t>Petronet LNG Ltd (PLL)</t>
  </si>
  <si>
    <t xml:space="preserve">Shell Energy India Pvt. Ltd.		</t>
  </si>
  <si>
    <t>Konkan LNG Limited</t>
  </si>
  <si>
    <t>Kochi</t>
  </si>
  <si>
    <t xml:space="preserve">Petronet LNG Ltd (PLL) </t>
  </si>
  <si>
    <t>Ennore</t>
  </si>
  <si>
    <t>Indian Oil LNG Pvt Ltd</t>
  </si>
  <si>
    <t>Mundra</t>
  </si>
  <si>
    <t xml:space="preserve"> GSPC LNG Limited</t>
  </si>
  <si>
    <t>Dhamra</t>
  </si>
  <si>
    <t>Adani Total Private Limited</t>
  </si>
  <si>
    <t>Total Capacity</t>
  </si>
  <si>
    <t xml:space="preserve">Table 3.10 : Import of Liquefied Natural Gas (LNG) </t>
  </si>
  <si>
    <t>LNG import quantity/value</t>
  </si>
  <si>
    <t>Financial Year</t>
  </si>
  <si>
    <t>MMBtu</t>
  </si>
  <si>
    <t>Value (Mn. USD)</t>
  </si>
  <si>
    <t>USD / MMBtu</t>
  </si>
  <si>
    <t>2017-18</t>
  </si>
  <si>
    <t>Conversion of MMSCM to MMBtu is based on approximation of 1 Million BTU (MMBTU) = 25.2 SCM. (@10000 Kcal/SCM; 1 MMBtu = 252000 Kcal)</t>
  </si>
  <si>
    <t>Table 3.11 : Domestic natural gas price and gas price ceiling</t>
  </si>
  <si>
    <t>Period</t>
  </si>
  <si>
    <t>Domestic natural gas price in US$/MMBTU (GCV basis)*</t>
  </si>
  <si>
    <t>Gas price ceiling (HPHT)in US$/MMBTU (GCV basis)**</t>
  </si>
  <si>
    <t>November 2014 - March 2015</t>
  </si>
  <si>
    <t xml:space="preserve">April 2015 - September 2015 </t>
  </si>
  <si>
    <t xml:space="preserve">October 2015 - March 2016 </t>
  </si>
  <si>
    <t xml:space="preserve">April 2016  - September 2016 </t>
  </si>
  <si>
    <t xml:space="preserve">October 2016 - March 2017  </t>
  </si>
  <si>
    <t xml:space="preserve">April 2017 - September 2017  </t>
  </si>
  <si>
    <t xml:space="preserve">October 2017 - March 2018  </t>
  </si>
  <si>
    <t xml:space="preserve">April 2018 - September 2018  </t>
  </si>
  <si>
    <t xml:space="preserve">October 2018 - March 2019 </t>
  </si>
  <si>
    <t xml:space="preserve">April 2019 - September 2019 </t>
  </si>
  <si>
    <t xml:space="preserve">October 2019 - March 2020 </t>
  </si>
  <si>
    <t xml:space="preserve">April 2020 - September 2020 </t>
  </si>
  <si>
    <t>October 2020 - March 2021</t>
  </si>
  <si>
    <t>April 2021 - September 2021</t>
  </si>
  <si>
    <t>October 2021 - March 2022</t>
  </si>
  <si>
    <t>April 2022 - September 2022</t>
  </si>
  <si>
    <t>October 2022 - March 2023</t>
  </si>
  <si>
    <t>1 April 2023 - 7 April 2023</t>
  </si>
  <si>
    <t xml:space="preserve">HP-HT Gas price ceiling in US$/MMBTU </t>
  </si>
  <si>
    <t>8 April 2023 - 30 April 2023</t>
  </si>
  <si>
    <t>April 2023 - September 2023</t>
  </si>
  <si>
    <t>1 May 2023 - 31 May 2023</t>
  </si>
  <si>
    <t>1 June 2023 - 30 June 2023</t>
  </si>
  <si>
    <t>1 July 2023 - 31 July 2023</t>
  </si>
  <si>
    <t>1 August 2023 -31 August 2023</t>
  </si>
  <si>
    <t>1 September 2023 - 30  September 2023</t>
  </si>
  <si>
    <t>1 October 2023 -31 October 2023</t>
  </si>
  <si>
    <t>October 2023 - March 2024</t>
  </si>
  <si>
    <t>1 Nov 2023 - 30 Nov2023</t>
  </si>
  <si>
    <t>1 Dec 2023 - 31 Dec 2023</t>
  </si>
  <si>
    <t>1 Jan 2024 - 31 Jan 2024</t>
  </si>
  <si>
    <t>1 Feb 2024- 29 Feb 2024</t>
  </si>
  <si>
    <t>1 Mar 2024- 31 Mar 2024</t>
  </si>
  <si>
    <t>1 April 2024 - 30 April 2024</t>
  </si>
  <si>
    <t>April 2024 - September 2024</t>
  </si>
  <si>
    <t>1 May 2024 - 31 May 2024</t>
  </si>
  <si>
    <t>1 June 2024 - 30 June 2024</t>
  </si>
  <si>
    <t>1 July 2024 - 31 July 2024</t>
  </si>
  <si>
    <t>1 August 2024 -31 August 2024</t>
  </si>
  <si>
    <t>1 September 2024 - 30  September 2024</t>
  </si>
  <si>
    <t>1 October 2024 -31 October 2024</t>
  </si>
  <si>
    <t>October 2024- March 2025</t>
  </si>
  <si>
    <t>Note:</t>
  </si>
  <si>
    <t xml:space="preserve">** As per the notification issed by Ministry of Petroleum and Natural Gas  dated 21.03.2016 on marketing including pricing freedom for the gas to be produced from discoveries in Deepwater, Ultra Deepwater and High Pressure-High Temperature areas.  </t>
  </si>
  <si>
    <t xml:space="preserve">CNG </t>
  </si>
  <si>
    <t xml:space="preserve">Domectic
 (PNG) </t>
  </si>
  <si>
    <t xml:space="preserve">Total   
</t>
  </si>
  <si>
    <t xml:space="preserve">* Inputs based on the information submitted by CGD entities - subject to revisions,  if any.
   Categorizations of data under Commercial and Industrial sectors- as per the respective policies of individual CGD entities </t>
  </si>
  <si>
    <t>Domestic (PNG)</t>
  </si>
  <si>
    <t>Commercial (PNG)</t>
  </si>
  <si>
    <t>Industrial (PNG)</t>
  </si>
  <si>
    <t xml:space="preserve">Total </t>
  </si>
  <si>
    <t>October-2020 to March 2021</t>
  </si>
  <si>
    <t>April-2021 to September 2021</t>
  </si>
  <si>
    <t>October 2021 to March 2022</t>
  </si>
  <si>
    <t>April-2022 to September 2022</t>
  </si>
  <si>
    <t>October-2022 to March 2023</t>
  </si>
  <si>
    <t>April-2023 to September 2023</t>
  </si>
  <si>
    <t>October-2023 to March 2024</t>
  </si>
  <si>
    <t>April-2024 to September 2024</t>
  </si>
  <si>
    <t xml:space="preserve">Sales of SCMD (SCM per day) calculated based on sale  period </t>
  </si>
  <si>
    <t>Table 3.12 B:  Basket Trends- CGD Sale Profile*  (in MMSCM) - Annual</t>
  </si>
  <si>
    <t>Total 
(in MMSCMD)</t>
  </si>
  <si>
    <t>FY 2022-23</t>
  </si>
  <si>
    <t>FY 2023-24 (P)</t>
  </si>
  <si>
    <t xml:space="preserve">Table 3.12 D:  Basket Trends- CGD Sale Profile*  (in % ) </t>
  </si>
  <si>
    <t xml:space="preserve">Sales in % calculated based on sale for period </t>
  </si>
  <si>
    <t>Not to be printed</t>
  </si>
  <si>
    <t>Table 3.12C:  Segment wise share in CGD Sale Profile   (in % )</t>
  </si>
  <si>
    <t xml:space="preserve">Sales  calculated based on sale for the given period period </t>
  </si>
  <si>
    <t>Total Consumption (in MMSCMD)</t>
  </si>
  <si>
    <t xml:space="preserve">Domestic (PNG) </t>
  </si>
  <si>
    <t xml:space="preserve">Commercial (PNG) </t>
  </si>
  <si>
    <t xml:space="preserve">Industrial (PNG) </t>
  </si>
  <si>
    <t>Sector</t>
  </si>
  <si>
    <t>Consumption in MMSCM</t>
  </si>
  <si>
    <t>Power</t>
  </si>
  <si>
    <t>City or local natural gas distribution network</t>
  </si>
  <si>
    <t>Refinery</t>
  </si>
  <si>
    <t>Internal consumption for Pipeline System</t>
  </si>
  <si>
    <t>Industrial</t>
  </si>
  <si>
    <t>Manufacturing</t>
  </si>
  <si>
    <t>Miscellaneous</t>
  </si>
  <si>
    <t>Fertilizer</t>
  </si>
  <si>
    <t>Petrochemicals</t>
  </si>
  <si>
    <t>LPG shrinkage</t>
  </si>
  <si>
    <t>Sponge iron</t>
  </si>
  <si>
    <t xml:space="preserve">MAKE UP AND DOWN </t>
  </si>
  <si>
    <t>Agriculture                          (Tea Plantation)</t>
  </si>
  <si>
    <t>Chapter-4</t>
  </si>
  <si>
    <t>Refining &amp; Production</t>
  </si>
  <si>
    <t>Export &amp; Import</t>
  </si>
  <si>
    <t>Crude Import</t>
  </si>
  <si>
    <t>Product Exports</t>
  </si>
  <si>
    <t>Product Imports</t>
  </si>
  <si>
    <t xml:space="preserve">Table 4.1 : Refineries: Installed Capacity and Crude Oil Processing </t>
  </si>
  <si>
    <t>Sr. No.</t>
  </si>
  <si>
    <t>Crude oil processing (MMT)</t>
  </si>
  <si>
    <t>01.04.2023</t>
  </si>
  <si>
    <t>01.04.2024</t>
  </si>
  <si>
    <t>Barauni</t>
  </si>
  <si>
    <t>Koyali</t>
  </si>
  <si>
    <t>Haldia</t>
  </si>
  <si>
    <t>Mathura</t>
  </si>
  <si>
    <t>Panipat</t>
  </si>
  <si>
    <t>Guwahati</t>
  </si>
  <si>
    <t>Digboi</t>
  </si>
  <si>
    <t>Bongaigaon</t>
  </si>
  <si>
    <t>Paradip</t>
  </si>
  <si>
    <t>IOCL total</t>
  </si>
  <si>
    <t xml:space="preserve">Mumbai </t>
  </si>
  <si>
    <t>Visakh</t>
  </si>
  <si>
    <t>HMEL-Bathinda</t>
  </si>
  <si>
    <t>HPCL total</t>
  </si>
  <si>
    <t>BORL-Bina</t>
  </si>
  <si>
    <t>BPCL total</t>
  </si>
  <si>
    <t>Manali</t>
  </si>
  <si>
    <t>CBR</t>
  </si>
  <si>
    <t>CPCL total</t>
  </si>
  <si>
    <t>Numaligarh</t>
  </si>
  <si>
    <t>Tatipaka</t>
  </si>
  <si>
    <t>MRPL-Mangalore</t>
  </si>
  <si>
    <t>ONGC total</t>
  </si>
  <si>
    <t>RIL-Jamnagar (DTA)</t>
  </si>
  <si>
    <t>RIL-Jamnagar (SEZ)</t>
  </si>
  <si>
    <t>NEL-Vadinar</t>
  </si>
  <si>
    <t>All India</t>
  </si>
  <si>
    <t xml:space="preserve">Table 4.2 : High Sulphur (HS) &amp; Low Sulphur (LS) crude oil processing </t>
  </si>
  <si>
    <t xml:space="preserve">Type of crude </t>
  </si>
  <si>
    <t>HS crude</t>
  </si>
  <si>
    <t>LS crude</t>
  </si>
  <si>
    <t xml:space="preserve">Total crude </t>
  </si>
  <si>
    <t>Share of HS crude in total crude processing</t>
  </si>
  <si>
    <t xml:space="preserve">Table 4.3 : Imported crude &amp; Indigenous crude oil processing </t>
  </si>
  <si>
    <t>Indigenous/ Imported crude</t>
  </si>
  <si>
    <t>Imported  crude</t>
  </si>
  <si>
    <t>Indigenous crude</t>
  </si>
  <si>
    <t>Share of imported crude in total crude processing</t>
  </si>
  <si>
    <t>Table 4.4 : Domestic Production of Petroleum Products</t>
  </si>
  <si>
    <t>A) From crude oil/refineries</t>
  </si>
  <si>
    <t xml:space="preserve">Light ends </t>
  </si>
  <si>
    <t>of which: LPG</t>
  </si>
  <si>
    <t>MS</t>
  </si>
  <si>
    <t>Naphtha</t>
  </si>
  <si>
    <t>Middle distillates</t>
  </si>
  <si>
    <t>of which: SKO</t>
  </si>
  <si>
    <t>ATF</t>
  </si>
  <si>
    <t>HSD</t>
  </si>
  <si>
    <t>LDO</t>
  </si>
  <si>
    <t xml:space="preserve">Heavy ends </t>
  </si>
  <si>
    <t>Lube Oil</t>
  </si>
  <si>
    <t>Bitumen</t>
  </si>
  <si>
    <t>RPC/Petcoke</t>
  </si>
  <si>
    <t>Sub total (A)</t>
  </si>
  <si>
    <t>B) From natural gas/fractionators</t>
  </si>
  <si>
    <t>Sub total (B)</t>
  </si>
  <si>
    <t>SKO</t>
  </si>
  <si>
    <t>Total production (A +B)</t>
  </si>
  <si>
    <t>Table 4.5 : Production of Petroleum Products : All sources</t>
  </si>
  <si>
    <t>Major products</t>
  </si>
  <si>
    <t xml:space="preserve">Qunatity </t>
  </si>
  <si>
    <t>Percentage</t>
  </si>
  <si>
    <t>FO</t>
  </si>
  <si>
    <t>Lubes</t>
  </si>
  <si>
    <t>Table 4.6 : Production vis a vis Consumption of Petroleum Products</t>
  </si>
  <si>
    <t xml:space="preserve">Consumption </t>
  </si>
  <si>
    <t>Production from refineries &amp; other sources*</t>
  </si>
  <si>
    <t>(A)</t>
  </si>
  <si>
    <t>(B)</t>
  </si>
  <si>
    <t>(B)-(A)</t>
  </si>
  <si>
    <t>1997-98</t>
  </si>
  <si>
    <t xml:space="preserve">1998-99 </t>
  </si>
  <si>
    <t xml:space="preserve">1999-00 </t>
  </si>
  <si>
    <t>2000-01</t>
  </si>
  <si>
    <t>2001-02</t>
  </si>
  <si>
    <t xml:space="preserve">2002-03 </t>
  </si>
  <si>
    <t xml:space="preserve">2003-04 </t>
  </si>
  <si>
    <t>2004-05</t>
  </si>
  <si>
    <t xml:space="preserve">2005-06 </t>
  </si>
  <si>
    <t>2006-07</t>
  </si>
  <si>
    <t>2007-08</t>
  </si>
  <si>
    <t>2008-09</t>
  </si>
  <si>
    <t>2009-10</t>
  </si>
  <si>
    <t>2010-11</t>
  </si>
  <si>
    <t>2011-12</t>
  </si>
  <si>
    <t xml:space="preserve">2012-13 </t>
  </si>
  <si>
    <t xml:space="preserve">2013-14 </t>
  </si>
  <si>
    <t>2014-15</t>
  </si>
  <si>
    <t>2015-16</t>
  </si>
  <si>
    <t>2016-17</t>
  </si>
  <si>
    <t>2022-23 (P)</t>
  </si>
  <si>
    <t>Table 4.7 : Gross Refining Margins (GRM) of Refineries</t>
  </si>
  <si>
    <t>$/bbl</t>
  </si>
  <si>
    <t xml:space="preserve">2018-19 </t>
  </si>
  <si>
    <t>IOCL#</t>
  </si>
  <si>
    <t>BPCL</t>
  </si>
  <si>
    <t>HPCL</t>
  </si>
  <si>
    <t>CPCL</t>
  </si>
  <si>
    <t>MRPL</t>
  </si>
  <si>
    <t>NRL#</t>
  </si>
  <si>
    <t>BORL</t>
  </si>
  <si>
    <t>**</t>
  </si>
  <si>
    <t>RIL</t>
  </si>
  <si>
    <t>*</t>
  </si>
  <si>
    <t>NEL</t>
  </si>
  <si>
    <t>As per U.S. Energy Information Administration (EIA) , Gross Refining  Margin is the difference between the revenue from the sale of petroleum products and the cost of the raw materials used to produce the products.</t>
  </si>
  <si>
    <t xml:space="preserve"> Table 4.8 : Distillate yield of PSU Refineries</t>
  </si>
  <si>
    <t>(Distillate %)</t>
  </si>
  <si>
    <t xml:space="preserve">Refinery </t>
  </si>
  <si>
    <t>IOCL</t>
  </si>
  <si>
    <t>Mumbai</t>
  </si>
  <si>
    <t>Bina</t>
  </si>
  <si>
    <t>NRL</t>
  </si>
  <si>
    <t>Mangalore</t>
  </si>
  <si>
    <t>PSU oil cos. average</t>
  </si>
  <si>
    <t xml:space="preserve">Table 4.9 : Fuel &amp; Loss </t>
  </si>
  <si>
    <t>Crude T'put + other inputs</t>
  </si>
  <si>
    <t>Fuel &amp; Loss</t>
  </si>
  <si>
    <t>Whether to drop 201718</t>
  </si>
  <si>
    <t xml:space="preserve">Qty                      </t>
  </si>
  <si>
    <t>IOCL Total</t>
  </si>
  <si>
    <t>HPCL Total</t>
  </si>
  <si>
    <t>BPCL Total</t>
  </si>
  <si>
    <t>CPCL Total</t>
  </si>
  <si>
    <t>ONGC Total</t>
  </si>
  <si>
    <t>Jamnagar (DTA)</t>
  </si>
  <si>
    <t>Jamnagar (SEZ)</t>
  </si>
  <si>
    <t>Vadinar</t>
  </si>
  <si>
    <t>Table 4.10: Specific Energy Consumption of PSU Refineries</t>
  </si>
  <si>
    <t>(MBTU/Bbl/NRGF)</t>
  </si>
  <si>
    <t>2024-25 (P)</t>
  </si>
  <si>
    <t>Visakhapatnam</t>
  </si>
  <si>
    <t>PSU average</t>
  </si>
  <si>
    <t>MBN values are as per New MBN methodology with normalisation for grid power import and BS-IV/VI production from 2015-16 onwards</t>
  </si>
  <si>
    <t>Specific Energy Consumption written as SEC or MBN;mbn=MBTU/Bbl/NRGF;MBTU: Net energy &amp; loss in Refinery(Thousand British Thermal Unit);</t>
  </si>
  <si>
    <t>BbLs: Barrels of crude processed;NRGF:Composite energy factor for the Refinery</t>
  </si>
  <si>
    <t>Table 4.11 : Import/Export of crude oil and petroleum products</t>
  </si>
  <si>
    <t>Import / export</t>
  </si>
  <si>
    <t>Crude oil &amp; petroleum products</t>
  </si>
  <si>
    <t>Quantity</t>
  </si>
  <si>
    <t xml:space="preserve"> Million tonne</t>
  </si>
  <si>
    <t>US$ (Billion)</t>
  </si>
  <si>
    <t>Rs. (Crores)</t>
  </si>
  <si>
    <t>IMPORT*</t>
  </si>
  <si>
    <t xml:space="preserve">Crude oil </t>
  </si>
  <si>
    <t>of which, PSU/JVs</t>
  </si>
  <si>
    <t>Private</t>
  </si>
  <si>
    <t>Products</t>
  </si>
  <si>
    <t>Petrol</t>
  </si>
  <si>
    <t>Aviation Turbine Fuel</t>
  </si>
  <si>
    <t>Kerosene</t>
  </si>
  <si>
    <t>Diesel</t>
  </si>
  <si>
    <t>Lubes/LOBS</t>
  </si>
  <si>
    <t>Fuel Oil</t>
  </si>
  <si>
    <t>Petcoke</t>
  </si>
  <si>
    <t>Total product import</t>
  </si>
  <si>
    <t>Total import 
(crude oil + product)</t>
  </si>
  <si>
    <t>EXPORT</t>
  </si>
  <si>
    <t>Petcoke / CBFS</t>
  </si>
  <si>
    <t>Total product export</t>
  </si>
  <si>
    <t>Net import</t>
  </si>
  <si>
    <t>Net product export</t>
  </si>
  <si>
    <t>***Other exports include VGO, Benzene, Hexane, MTO,  Sulphur etc.</t>
  </si>
  <si>
    <t>"Others" in exports include RIL-SEZ exports of "Others" with unspecified heavy ends.</t>
  </si>
  <si>
    <t>US dollar
($)</t>
  </si>
  <si>
    <t>British pound
(£)</t>
  </si>
  <si>
    <t xml:space="preserve"> Euro
(€)</t>
  </si>
  <si>
    <t>Japanese yen
(¥)</t>
  </si>
  <si>
    <t>Indian rupee (₹) / foreign currency</t>
  </si>
  <si>
    <t>2002-03</t>
  </si>
  <si>
    <t>2003-04</t>
  </si>
  <si>
    <t>2005-06</t>
  </si>
  <si>
    <t xml:space="preserve">2011-12  </t>
  </si>
  <si>
    <t>2012-13</t>
  </si>
  <si>
    <t xml:space="preserve">2014-15 </t>
  </si>
  <si>
    <t>January</t>
  </si>
  <si>
    <t>February</t>
  </si>
  <si>
    <t>March</t>
  </si>
  <si>
    <t>April</t>
  </si>
  <si>
    <t>Table 5.1: Natural Gas Pipelines in the Country (Operational)</t>
  </si>
  <si>
    <t>S. No.</t>
  </si>
  <si>
    <t>Network/Region</t>
  </si>
  <si>
    <t>Entity</t>
  </si>
  <si>
    <t>Length  (Kms)</t>
  </si>
  <si>
    <t>Pipeline size</t>
  </si>
  <si>
    <t>Pipeline Status</t>
  </si>
  <si>
    <t>Average flow Apr-Mar 2022-23(P) (mmscmd)</t>
  </si>
  <si>
    <t>% Capacity utilisation 2022-23</t>
  </si>
  <si>
    <t>Average flow Apr-Sept 2024-25(mmscmd)</t>
  </si>
  <si>
    <t>Assam Natural Gas Pipeline Network</t>
  </si>
  <si>
    <t>Assam Gas Company Limited (AGCL)</t>
  </si>
  <si>
    <t>800 mm/500 mm/ 400 mm/ 350 mm</t>
  </si>
  <si>
    <t>Operational</t>
  </si>
  <si>
    <t>Cauvery Basin Network</t>
  </si>
  <si>
    <t>GAIL</t>
  </si>
  <si>
    <t>18"/ 12"/ 8"/ 6"/ 4"/3"/2"</t>
  </si>
  <si>
    <t>KG Basin Network</t>
  </si>
  <si>
    <t>18"/16"/14"/12"/8"/6"/4"/2"</t>
  </si>
  <si>
    <t>24"/18"/14"/12"/8"/6"/5"/2"/1"</t>
  </si>
  <si>
    <t>Agartala Regional Network</t>
  </si>
  <si>
    <t>12"/10"/8"</t>
  </si>
  <si>
    <t>Kochi-Koottanad-Bangalore-Mangalore #</t>
  </si>
  <si>
    <t>30"/ 24"/ 18" / 8"/ 4"</t>
  </si>
  <si>
    <t>Under Construction / 
Part Operational</t>
  </si>
  <si>
    <t>Hazira-Vijaipur-Jagdishpur -GREP (Gas Rehabilitation and Expansion Project)-Dahej-Vijaipur HVJ/VDPL</t>
  </si>
  <si>
    <t>42"/36"/30"/18"/16"/14"/12"/10"/8"/6"/4"/2"</t>
  </si>
  <si>
    <t>Dahej-Vijaipur (DVPL)-Vijaipur-Dadri (GREP) Upgradation DVPL 2 &amp; VDPL</t>
  </si>
  <si>
    <t>48"/ 16"/12"</t>
  </si>
  <si>
    <t>Dahej-Uran-Panvel-Dhabhol</t>
  </si>
  <si>
    <t>30"/24"/18"/12"/6"/4"</t>
  </si>
  <si>
    <t>Mumbai Regional Network</t>
  </si>
  <si>
    <t>26"/20"18"/12"/4"</t>
  </si>
  <si>
    <t>36"/18"/16"/12"/10"/8"/4"</t>
  </si>
  <si>
    <t>Dadri-Bawana-Nangal</t>
  </si>
  <si>
    <t>36"/30"/18"/10"/8"</t>
  </si>
  <si>
    <t>Dabhol-Bangalore</t>
  </si>
  <si>
    <t>36"/30"/24"/18"/10"/8"</t>
  </si>
  <si>
    <t>Jagdishpur-Haldia-Bokaro Dhamra-Paradip- Barauni-Guwahati  #</t>
  </si>
  <si>
    <t>36'/30”/24"/18"/12”/8”/6"/4"</t>
  </si>
  <si>
    <t>Dedicated pipelines ##</t>
  </si>
  <si>
    <t>GGL</t>
  </si>
  <si>
    <t>18"</t>
  </si>
  <si>
    <t>GIGL</t>
  </si>
  <si>
    <t>24”/18”/16”/12”/8”/6”</t>
  </si>
  <si>
    <t>GITL</t>
  </si>
  <si>
    <t>42”/36"/30"/24"/18"/12”</t>
  </si>
  <si>
    <t>High Pressure Gujarat Gas Grid</t>
  </si>
  <si>
    <t>GSPL</t>
  </si>
  <si>
    <t>36"/30"/24"/20"/18"/12"/8"/6"/4"</t>
  </si>
  <si>
    <t>Low Pressure Gujarat Gas Grid</t>
  </si>
  <si>
    <t>36"/30"/24"/12"</t>
  </si>
  <si>
    <t>Dadri-Panipat</t>
  </si>
  <si>
    <t>30"</t>
  </si>
  <si>
    <t>Ennore-Thiruvallur-Bengaluru-Puducherry-Nagapattinam- Madurai-Tuticorn</t>
  </si>
  <si>
    <t>30”/24”/18”/16”/14”/12"/8"/6”</t>
  </si>
  <si>
    <t>13.17%*</t>
  </si>
  <si>
    <t>Dahej-Koyali</t>
  </si>
  <si>
    <t>16"</t>
  </si>
  <si>
    <t>Uran-Trombay</t>
  </si>
  <si>
    <t>20"</t>
  </si>
  <si>
    <t>Pipeline Infrastructure Limited</t>
  </si>
  <si>
    <t>48"/30"/28"/24"/16"/10"</t>
  </si>
  <si>
    <t xml:space="preserve">Shahdol-Phulpur </t>
  </si>
  <si>
    <t>RGPL</t>
  </si>
  <si>
    <t># Capacity of commissioned section</t>
  </si>
  <si>
    <t>## Dedicated pipelines are for connecting multiple end customers having different pipeline capacities. Therefore, Arithmatic Summation of all individual capacities is invalid due to which % capacity utilization cant be calculated</t>
  </si>
  <si>
    <t>updated</t>
  </si>
  <si>
    <t>Pipeline Operator</t>
  </si>
  <si>
    <t>Operational\Partially Commissioned NG Pipelines</t>
  </si>
  <si>
    <t xml:space="preserve"> (%) of Total</t>
  </si>
  <si>
    <t>AGIL</t>
  </si>
  <si>
    <t>PIL</t>
  </si>
  <si>
    <t>Note: Pipelines includes commissioned and partially commissioned pipelines.</t>
  </si>
  <si>
    <t>Table 5.2 : Existing Major Crude Oil Pipelines in India</t>
  </si>
  <si>
    <t>Type of Pipeline-Onshore/Offshore</t>
  </si>
  <si>
    <t>Name of the pipeline</t>
  </si>
  <si>
    <t>Owner</t>
  </si>
  <si>
    <t>Length (KM)</t>
  </si>
  <si>
    <t>Capacity (MMT)</t>
  </si>
  <si>
    <t>Througput (MMT)</t>
  </si>
  <si>
    <t>Percentage Utilisation during</t>
  </si>
  <si>
    <t>CTF (Central Tank Farm) Kalol to CTF Nawagam - New (New line commissioned in Aug'2010)</t>
  </si>
  <si>
    <t xml:space="preserve">Nawagam-Koyali (18" line) New </t>
  </si>
  <si>
    <t xml:space="preserve">Nawagam-Koyali (14" line) ( Old) </t>
  </si>
  <si>
    <t>MHN-NGM (Mehsana-Nawagam) trunk line - New (New crude oil trunk line commissioned. Under operation since Dec'2010)</t>
  </si>
  <si>
    <t xml:space="preserve">CTF (Central Tank Farm), Ankleshwar to Koyali oil pipeline (AKCL- Ankleshwar Koyali Crude Line) </t>
  </si>
  <si>
    <t xml:space="preserve">CTF (Central Tank Farm), Ankleshwar to CPF (Central Processing Facility), Gandhar </t>
  </si>
  <si>
    <t>CPF (Central Processing Facility), Gandhar to Saraswani ‘T’ point</t>
  </si>
  <si>
    <t xml:space="preserve">Akholjuni- Koyali oil pipe line (Commissioned in July 2010). Akholjuni to Laxmipura T' point  </t>
  </si>
  <si>
    <t xml:space="preserve">Lakwa-Moran oil line (New) </t>
  </si>
  <si>
    <t>Lakwa-Moran oil line (Old)</t>
  </si>
  <si>
    <t>Geleki-Jorhat oil line</t>
  </si>
  <si>
    <t>Borholla- Jorhat oil line</t>
  </si>
  <si>
    <t>Borholla- Jorhat new TPL (New)</t>
  </si>
  <si>
    <t>NRM (Narimanam) to CPCL (Chennai Petroleum Corporation Limited)</t>
  </si>
  <si>
    <t>KSP-WGGS to TPK Refinery (Kesnapalli-West-Group Gathering Station to Tatipaka)</t>
  </si>
  <si>
    <t xml:space="preserve">GMAA EPT (Gopavaram Early Production Terminal) to S. Yanam Unloading Terminal (3.5 Km long and 4"). New line commissioned on 28.07.10     </t>
  </si>
  <si>
    <t>Mumbai High - Uran - Trunk (MUT) 30’’ pipeline</t>
  </si>
  <si>
    <t xml:space="preserve">Heera - Uran - Trunk (HUT)  24’’ pipeline </t>
  </si>
  <si>
    <t xml:space="preserve">Bombay-Uran Trunk  (BUT) 30’’ pipeline  </t>
  </si>
  <si>
    <t>Sub total ONGC</t>
  </si>
  <si>
    <t>Mundra-Panipat pipeline</t>
  </si>
  <si>
    <t>Sub total IOCL</t>
  </si>
  <si>
    <t>Duliajan-Digboi-Bongaigaon-Barauni pipeline</t>
  </si>
  <si>
    <t>Mangla-Bhogat pipeline</t>
  </si>
  <si>
    <t>CAIRN</t>
  </si>
  <si>
    <t>Bhogat Marine</t>
  </si>
  <si>
    <t>Sub total CAIRN</t>
  </si>
  <si>
    <t>Mundra- Bathinda pipeline</t>
  </si>
  <si>
    <t>HMPL</t>
  </si>
  <si>
    <t>Vadinar-Bina  pipeline</t>
  </si>
  <si>
    <t>Total Crude pipelines</t>
  </si>
  <si>
    <t>Notes:</t>
  </si>
  <si>
    <t>5.3 Existing Major POL Pipelines in India</t>
  </si>
  <si>
    <t xml:space="preserve">Type of Pipeline  </t>
  </si>
  <si>
    <t>Throughput (MMT)</t>
  </si>
  <si>
    <t>Percentage utilisation during</t>
  </si>
  <si>
    <t>Petroleum Products Pipelines</t>
  </si>
  <si>
    <t>Barauni - Kanpur pipeline</t>
  </si>
  <si>
    <t>Guwahati -Siliguri pipeline</t>
  </si>
  <si>
    <t>Haldia-Barauni pipeline</t>
  </si>
  <si>
    <t>Haldia-Mourigram-Rajbandh pipeline</t>
  </si>
  <si>
    <t xml:space="preserve">Koyali-Ahmedabad pipeline </t>
  </si>
  <si>
    <t>Koyali-Jaipur-Panipat pipeline</t>
  </si>
  <si>
    <t xml:space="preserve">Koyali-Sanganer pipeline (Incl. JPNPL) </t>
  </si>
  <si>
    <t>Koyali-Ratlam pipeline</t>
  </si>
  <si>
    <t>Koyali-Dahej pipeline</t>
  </si>
  <si>
    <t>Mathura-Agra-Gawria pipeline</t>
  </si>
  <si>
    <t>Mathura-Tundla pipeline</t>
  </si>
  <si>
    <t>Mathura-Bharatpur pipeline</t>
  </si>
  <si>
    <t>Mathura-Delhi pipeline</t>
  </si>
  <si>
    <t xml:space="preserve">Panipat-Amabala-Jalandhar (Including Kurukshetra-Roorkee-Najibabad  branch line) </t>
  </si>
  <si>
    <t xml:space="preserve">Panipat-Delhi (Including Sonepat-Meerut branch line) pipeline </t>
  </si>
  <si>
    <t>Panipat Bijwasan ATF pipeline</t>
  </si>
  <si>
    <t xml:space="preserve">Panipat Bijwasan ATF pipeline </t>
  </si>
  <si>
    <t>Panipat-Bathinda pipeline</t>
  </si>
  <si>
    <t>Panipat-Rewari pipeline</t>
  </si>
  <si>
    <t>Chennai-Trichy-Madurai pipeline</t>
  </si>
  <si>
    <t>Chennai - Meenambakkam  ATF pipeline</t>
  </si>
  <si>
    <t>Chennai-Bengaluru pipeline</t>
  </si>
  <si>
    <t>Devangonthi - Devanhalli pipeline</t>
  </si>
  <si>
    <t>Paradip Raipur Ranchi pipeline(PRRPL)</t>
  </si>
  <si>
    <t xml:space="preserve">Kolkata ATF Pipeline </t>
  </si>
  <si>
    <t>Lucknow ATF Pipeline</t>
  </si>
  <si>
    <t xml:space="preserve">Kolkata ATF pipeline </t>
  </si>
  <si>
    <t>Paradip-Somnathpur-Haldia Pipeline</t>
  </si>
  <si>
    <t xml:space="preserve">18" HBPL (Haldia - Barauni) Conversion Project </t>
  </si>
  <si>
    <t>Mumbai-Manmad-Bijwasan pipeline (MMBPL)</t>
  </si>
  <si>
    <t>Kota - Jobner  branch pipeline (1)</t>
  </si>
  <si>
    <t>Bina-Kota pipeline (BKPL)</t>
  </si>
  <si>
    <t xml:space="preserve">Bina Panki Pipeline </t>
  </si>
  <si>
    <t>ATF P/L Mumbai Refinery (MR)-Santacruz</t>
  </si>
  <si>
    <t>ATF P/L Kochi Refinery (KR)-Kochi Airport</t>
  </si>
  <si>
    <t>Mumbai Refinery- Wadilube Pipeline</t>
  </si>
  <si>
    <t>Cochin-Coimbatore-Karur (CCK) pipeline (2)</t>
  </si>
  <si>
    <t>Sub total BPCL</t>
  </si>
  <si>
    <t>Mumbai-Pune-Solapur pipeline</t>
  </si>
  <si>
    <t>Vizag-Vijaywada-Secunderabad pipeline (5)</t>
  </si>
  <si>
    <t>Vizag-Vijaywada-Secunderabad pipeline</t>
  </si>
  <si>
    <t>Vijaywada Dharmapuri (VDPL) Pipeline</t>
  </si>
  <si>
    <t>Mundra-Delhi pipeline (1)</t>
  </si>
  <si>
    <t>Awa-Salawas pipeline</t>
  </si>
  <si>
    <t>Palanpur-Vadodara Pipeline</t>
  </si>
  <si>
    <t>Ramanmandi-Bahadurgarh pipeline (2)</t>
  </si>
  <si>
    <t>Bahadurgarh-Tikrikalan pipeline</t>
  </si>
  <si>
    <t>Rewari- Kanpur Pipeline</t>
  </si>
  <si>
    <t xml:space="preserve">Ramanmandi-Bathinda pipeline </t>
  </si>
  <si>
    <t>ATF pipeline  from Mumbai Refinery to Mumbai Airport</t>
  </si>
  <si>
    <t>Black Oil Pipeline (BOPL)</t>
  </si>
  <si>
    <t>Lube Oil Pipeline : Trombay to Wadibundar (3)</t>
  </si>
  <si>
    <t>Sub total HPCL</t>
  </si>
  <si>
    <t>Mangalore-Hassan-Bengaluru (MHB) pipeline (1)</t>
  </si>
  <si>
    <t>Petronet MHB</t>
  </si>
  <si>
    <t>Numaligarh-Siliguri pipeline</t>
  </si>
  <si>
    <t>Total Petroleum product pipelines (w/o LPG pipelines )</t>
  </si>
  <si>
    <t>LPG Pipelines</t>
  </si>
  <si>
    <t>Panipat-Jalandhar pipeline</t>
  </si>
  <si>
    <t>Paradip Haldia Barauni Motihari pipeline</t>
  </si>
  <si>
    <t>Onshore/ offshore</t>
  </si>
  <si>
    <t>Mumbai-Uran  pipeline</t>
  </si>
  <si>
    <t>Jamnagar-Loni pipeline</t>
  </si>
  <si>
    <t>Vizag-Secunderabad pipeline</t>
  </si>
  <si>
    <t>Sub total GAIL</t>
  </si>
  <si>
    <t>Mangalore-Hassan-Mysore-Bangalore LPG (6)</t>
  </si>
  <si>
    <t>Hassan-Cherlapalli LPG Pipeline</t>
  </si>
  <si>
    <t>Uran-Chakan-Shikrapur LPG Pipeline (4)</t>
  </si>
  <si>
    <t>Total LPG pipelines</t>
  </si>
  <si>
    <t>Total POL pipelines</t>
  </si>
  <si>
    <t xml:space="preserve">BPCL </t>
  </si>
  <si>
    <t>1) Kota-Jobner Pipeline is a branch pipeline of Mumbai Manmad Bijwasan pipeline with annual capacity of 1.7 MMTPA.Throughput of this pipeline is included in MMBPL &amp; BKPL pipelines.</t>
  </si>
  <si>
    <t>2) Petronet CCK was merged with BPCL  w.e.f 01.06.2018.</t>
  </si>
  <si>
    <t xml:space="preserve">HPCL </t>
  </si>
  <si>
    <t>Major Pipelines in India</t>
  </si>
  <si>
    <t>All OK</t>
  </si>
  <si>
    <t>Table 6.1 : Consumption of Petroleum Products</t>
  </si>
  <si>
    <t>APR</t>
  </si>
  <si>
    <t>MAY</t>
  </si>
  <si>
    <t>JUN</t>
  </si>
  <si>
    <t>JUL</t>
  </si>
  <si>
    <t>AUG</t>
  </si>
  <si>
    <t>SEP</t>
  </si>
  <si>
    <t>OCT</t>
  </si>
  <si>
    <t>NOV</t>
  </si>
  <si>
    <t>DEC</t>
  </si>
  <si>
    <t>JAN</t>
  </si>
  <si>
    <t>FEB</t>
  </si>
  <si>
    <t>MAR</t>
  </si>
  <si>
    <t>CAGR % 10 Years</t>
  </si>
  <si>
    <t>% Growth YoY</t>
  </si>
  <si>
    <t>2013-14</t>
  </si>
  <si>
    <t xml:space="preserve">2015-16  </t>
  </si>
  <si>
    <t xml:space="preserve">2016-17 </t>
  </si>
  <si>
    <t xml:space="preserve">2017-18 </t>
  </si>
  <si>
    <t>Growth Rank</t>
  </si>
  <si>
    <t>CAGR %</t>
  </si>
  <si>
    <t>FY2023-24</t>
  </si>
  <si>
    <t>FY2013-14</t>
  </si>
  <si>
    <t>Growth (%)</t>
  </si>
  <si>
    <t>2012</t>
  </si>
  <si>
    <t>2013</t>
  </si>
  <si>
    <t>2014</t>
  </si>
  <si>
    <t>2015</t>
  </si>
  <si>
    <t>2016</t>
  </si>
  <si>
    <t>2017</t>
  </si>
  <si>
    <t>2018</t>
  </si>
  <si>
    <t>2019</t>
  </si>
  <si>
    <t>2020</t>
  </si>
  <si>
    <t>2021</t>
  </si>
  <si>
    <t>2022</t>
  </si>
  <si>
    <t>FY2020-21</t>
  </si>
  <si>
    <t>BITUMEN</t>
  </si>
  <si>
    <t>FO/LSHS</t>
  </si>
  <si>
    <t>Lubricants &amp; Greases</t>
  </si>
  <si>
    <t>FO &amp; LSHS</t>
  </si>
  <si>
    <t>Petroleum coke</t>
  </si>
  <si>
    <t>NAPHTHA</t>
  </si>
  <si>
    <t>2021-22 (P)</t>
  </si>
  <si>
    <t>OTHERS</t>
  </si>
  <si>
    <t>Sum</t>
  </si>
  <si>
    <t>Others*</t>
  </si>
  <si>
    <t>Apr-Sep 2021</t>
  </si>
  <si>
    <t>FY2021-22</t>
  </si>
  <si>
    <t>Apr-Sep 2022(P)</t>
  </si>
  <si>
    <t>PRODUCTS</t>
  </si>
  <si>
    <t>April-Sep-2021</t>
  </si>
  <si>
    <t>2023</t>
  </si>
  <si>
    <t>KEROSENE</t>
  </si>
  <si>
    <t>LUBES &amp; GREASES</t>
  </si>
  <si>
    <t>MOTOR SPIRIT</t>
  </si>
  <si>
    <t>PET COKE</t>
  </si>
  <si>
    <t>Consumption (MMT)</t>
  </si>
  <si>
    <t>Table 6.2 : Consumption growth of petroleum products</t>
  </si>
  <si>
    <t>(Growth in Percentage)</t>
  </si>
  <si>
    <t>(Million metric tonne)</t>
  </si>
  <si>
    <t>All products total</t>
  </si>
  <si>
    <t>End-use analysis of HSD sales (as of 2021-22)</t>
  </si>
  <si>
    <t>Consumption growth petroleum products</t>
  </si>
  <si>
    <t>FY2011-12</t>
  </si>
  <si>
    <t>(Percentage)</t>
  </si>
  <si>
    <t>End-use Sectors</t>
  </si>
  <si>
    <t>% of total sales *</t>
  </si>
  <si>
    <t>2019-20 (P)</t>
  </si>
  <si>
    <t>SUM</t>
  </si>
  <si>
    <t>(I)</t>
  </si>
  <si>
    <t>(II)</t>
  </si>
  <si>
    <t>(III)</t>
  </si>
  <si>
    <t>2024-25 H1</t>
  </si>
  <si>
    <t>a</t>
  </si>
  <si>
    <t>Commercial (taxis)</t>
  </si>
  <si>
    <t>b</t>
  </si>
  <si>
    <t>Private cars</t>
  </si>
  <si>
    <t>c</t>
  </si>
  <si>
    <t>3 - Wheelers</t>
  </si>
  <si>
    <t>d</t>
  </si>
  <si>
    <t>Truck:HCV/LCV</t>
  </si>
  <si>
    <t>e</t>
  </si>
  <si>
    <t>Buses</t>
  </si>
  <si>
    <t>Aviation/shipping</t>
  </si>
  <si>
    <t>Railways</t>
  </si>
  <si>
    <t>Agriculture</t>
  </si>
  <si>
    <t>Power Generation</t>
  </si>
  <si>
    <t>Industry</t>
  </si>
  <si>
    <t>Mobile towers</t>
  </si>
  <si>
    <t>*Figures include consumption through retail &amp; direct imports
End use sector wise break up as per
 PPAC survey and direct &amp; retail sales as reported by oil companies during October-2020 till September-2021</t>
  </si>
  <si>
    <t>Sr. No</t>
  </si>
  <si>
    <t>End Use Sectors</t>
  </si>
  <si>
    <t>% of total Sales*</t>
  </si>
  <si>
    <t>*Figures include consumption through retail and direct imports</t>
  </si>
  <si>
    <t>End use sector wise break up as per PPAC survey and direct &amp; retail sales as reported by oil companies during October 2020 to September 2021</t>
  </si>
  <si>
    <t>End-use analysis of HSD sales (Oct 2020-Sep 2021)_PPAC survey based analysis</t>
  </si>
  <si>
    <t>This Chart might Change</t>
  </si>
  <si>
    <t>Iron &amp; Steel</t>
  </si>
  <si>
    <t>Cement</t>
  </si>
  <si>
    <t>(Figures in TMT)</t>
  </si>
  <si>
    <t>State/UT</t>
  </si>
  <si>
    <t>Sales</t>
  </si>
  <si>
    <t>Per capita sales (Kg)</t>
  </si>
  <si>
    <t>Total 
sales</t>
  </si>
  <si>
    <t>Population as on 1st July ('000)</t>
  </si>
  <si>
    <t>SAS data</t>
  </si>
  <si>
    <t>All Products</t>
  </si>
  <si>
    <t>Chandigarh</t>
  </si>
  <si>
    <t>Delhi</t>
  </si>
  <si>
    <t>Jammu and Kashmir</t>
  </si>
  <si>
    <t>JAMMU &amp; KASHMIR</t>
  </si>
  <si>
    <t>Ladakh</t>
  </si>
  <si>
    <t>SUB TOTAL NORTH</t>
  </si>
  <si>
    <t>Andaman &amp; Nicobar Islands</t>
  </si>
  <si>
    <t>SUB TOTAL EAST</t>
  </si>
  <si>
    <t>Manipur</t>
  </si>
  <si>
    <t>Meghalaya</t>
  </si>
  <si>
    <t>Mizoram</t>
  </si>
  <si>
    <t>Nagaland</t>
  </si>
  <si>
    <t>Sikkim</t>
  </si>
  <si>
    <t>SUB TOTAL NORTH EAST</t>
  </si>
  <si>
    <t>Dadra &amp; Nagar Haveli and Daman &amp; Diu</t>
  </si>
  <si>
    <t>SUB TOTAL WEST</t>
  </si>
  <si>
    <t>Lakshadweep</t>
  </si>
  <si>
    <t>SUB TOTAL SOUTH</t>
  </si>
  <si>
    <t>Imports</t>
  </si>
  <si>
    <t>State wise highest/lowest per capita (only formajor products)</t>
  </si>
  <si>
    <t xml:space="preserve">Test </t>
  </si>
  <si>
    <t>Highest</t>
  </si>
  <si>
    <t>Lowest</t>
  </si>
  <si>
    <t xml:space="preserve">2-Population figures have been taken from table no.11 of 'Report of the Technical Group on Population Projections  </t>
  </si>
  <si>
    <t>3- SKO includes both PDS &amp; non PDS sales</t>
  </si>
  <si>
    <t>Maximum</t>
  </si>
  <si>
    <t>Minimum</t>
  </si>
  <si>
    <t>Population as on 1st March ('000)</t>
  </si>
  <si>
    <t>All India**</t>
  </si>
  <si>
    <t>^ Others include sulfur, propylene, propane, reformate, LABS, CBFS, butane, MTO etc.</t>
  </si>
  <si>
    <t>* Total (all product) sales includes all petroleum oil and lubtricants **All India domestic sales figures are including private imports &amp; SEZ data</t>
  </si>
  <si>
    <t>State wise highest/lowest per capita</t>
  </si>
  <si>
    <t>Y2 data</t>
  </si>
  <si>
    <t>Difference</t>
  </si>
  <si>
    <t>Petroleum Planning &amp; Analysis Cell</t>
  </si>
  <si>
    <t>STATE/UT</t>
  </si>
  <si>
    <t>REGION - NORTH</t>
  </si>
  <si>
    <t>Jammu &amp; Kashmir</t>
  </si>
  <si>
    <t>Region Total</t>
  </si>
  <si>
    <t>Region - North East</t>
  </si>
  <si>
    <t>Region - East</t>
  </si>
  <si>
    <t>Andaman &amp; Nicobar</t>
  </si>
  <si>
    <t>Region - West</t>
  </si>
  <si>
    <t>Dadra &amp; Nagar Haveli And Daman &amp; Diu</t>
  </si>
  <si>
    <t>Region - South</t>
  </si>
  <si>
    <t>All India Total*</t>
  </si>
  <si>
    <t>*Domestic sales figures are including private imports &amp; SEZ sales data</t>
  </si>
  <si>
    <t>All India Total</t>
  </si>
  <si>
    <t>MS Sales</t>
  </si>
  <si>
    <t xml:space="preserve">RO's as on </t>
  </si>
  <si>
    <t>HSD Sales</t>
  </si>
  <si>
    <t>Table 6.5 : PDS SKO allocation v/s sales</t>
  </si>
  <si>
    <t>(Figures in TKL)</t>
  </si>
  <si>
    <t>Allocn</t>
  </si>
  <si>
    <t xml:space="preserve">Dadra &amp; Nagar Haveli and Daman &amp; Diu </t>
  </si>
  <si>
    <t>6+.5</t>
  </si>
  <si>
    <t>Telengana</t>
  </si>
  <si>
    <t>Table 6.6 : Oil industry Retail Outlets, SKO / LDO Agencies</t>
  </si>
  <si>
    <t>1.4.2020</t>
  </si>
  <si>
    <t>1.4.2021</t>
  </si>
  <si>
    <t>1.4.2022</t>
  </si>
  <si>
    <t xml:space="preserve">1.4.2023 </t>
  </si>
  <si>
    <t xml:space="preserve">1.4.2024 </t>
  </si>
  <si>
    <t>1.04.2022 (P)</t>
  </si>
  <si>
    <t>RO % Grwth</t>
  </si>
  <si>
    <t>RO grw rank</t>
  </si>
  <si>
    <t>1.04.2022</t>
  </si>
  <si>
    <t>1.10.2022</t>
  </si>
  <si>
    <t>ANDHRA PRADESH</t>
  </si>
  <si>
    <t>ARUNACHAL PRADESH</t>
  </si>
  <si>
    <t>ASSAM</t>
  </si>
  <si>
    <t>BIHAR</t>
  </si>
  <si>
    <t>DELHI</t>
  </si>
  <si>
    <t>GOA</t>
  </si>
  <si>
    <t>GUJARAT</t>
  </si>
  <si>
    <t>HARYANA</t>
  </si>
  <si>
    <t>HIMACHAL PRADESH</t>
  </si>
  <si>
    <t>JHARKHAND</t>
  </si>
  <si>
    <t>KARNATAKA</t>
  </si>
  <si>
    <t>KERALA</t>
  </si>
  <si>
    <t>MADHYA PRADESH</t>
  </si>
  <si>
    <t>MAHARASHTRA</t>
  </si>
  <si>
    <t>MANIPUR</t>
  </si>
  <si>
    <t>MEGHALAYA</t>
  </si>
  <si>
    <t>MIZORAM</t>
  </si>
  <si>
    <t>NAGALAND</t>
  </si>
  <si>
    <t>ODISHA</t>
  </si>
  <si>
    <t>PUNJAB</t>
  </si>
  <si>
    <t>RAJASTHAN</t>
  </si>
  <si>
    <t>SIKKIM</t>
  </si>
  <si>
    <t>TAMIL NADU</t>
  </si>
  <si>
    <t>TELANGANA</t>
  </si>
  <si>
    <t>TRIPURA</t>
  </si>
  <si>
    <t>UTTAR PRADESH</t>
  </si>
  <si>
    <t>UTTARAKHAND</t>
  </si>
  <si>
    <t>WEST BENGAL</t>
  </si>
  <si>
    <t>UT</t>
  </si>
  <si>
    <t>CHANDIGARH</t>
  </si>
  <si>
    <t>DAMAN &amp; DIU</t>
  </si>
  <si>
    <t>LADAKH</t>
  </si>
  <si>
    <t>LAKSHADWEEP</t>
  </si>
  <si>
    <t>PUDUCHERRY</t>
  </si>
  <si>
    <t>• As many states have become kerosene free in the last five years and due to voluntary surrender of PDS kerosene quota by some others there has been a decline in the number of kerosene dealers in the country.</t>
  </si>
  <si>
    <t>All India number of Retail Outlets in PSU and private category</t>
  </si>
  <si>
    <t>Number of ROs</t>
  </si>
  <si>
    <t>Year (as on 1st April)</t>
  </si>
  <si>
    <t>PSU ROs</t>
  </si>
  <si>
    <t>Private ROs</t>
  </si>
  <si>
    <t>All India ROs</t>
  </si>
  <si>
    <t>Pvt. ROs</t>
  </si>
  <si>
    <t>01.04.2002</t>
  </si>
  <si>
    <t>1.4.2002</t>
  </si>
  <si>
    <t>01.04.2003</t>
  </si>
  <si>
    <t>1.4.2003</t>
  </si>
  <si>
    <t>01.04.2004</t>
  </si>
  <si>
    <t>1.4.2004</t>
  </si>
  <si>
    <t>01.04.2005</t>
  </si>
  <si>
    <t>1.4.2005</t>
  </si>
  <si>
    <t>01.04.2006</t>
  </si>
  <si>
    <t>1.4.2006</t>
  </si>
  <si>
    <t>01.04.2007</t>
  </si>
  <si>
    <t>1.4.2007</t>
  </si>
  <si>
    <t>01.04.2008</t>
  </si>
  <si>
    <t>1.4.2008</t>
  </si>
  <si>
    <t>01.04.2009</t>
  </si>
  <si>
    <t>1.4.2009</t>
  </si>
  <si>
    <t>01.04.2010</t>
  </si>
  <si>
    <t>1.4.2010</t>
  </si>
  <si>
    <t>01.04.2011</t>
  </si>
  <si>
    <t>1.4.2011</t>
  </si>
  <si>
    <t>01.04.2012</t>
  </si>
  <si>
    <t>1.4.2012</t>
  </si>
  <si>
    <t>01.04.2013</t>
  </si>
  <si>
    <t>1.4.2013</t>
  </si>
  <si>
    <t>01.04.2014</t>
  </si>
  <si>
    <t>1.4.2014</t>
  </si>
  <si>
    <t>01.04.2015</t>
  </si>
  <si>
    <t>1.4.2015</t>
  </si>
  <si>
    <t>01.04.2016</t>
  </si>
  <si>
    <t>1.4.2016</t>
  </si>
  <si>
    <t>01.04.2017</t>
  </si>
  <si>
    <t>1.4.2017</t>
  </si>
  <si>
    <t>01.04.2018</t>
  </si>
  <si>
    <t>1.4.2018</t>
  </si>
  <si>
    <t>01.04.2019</t>
  </si>
  <si>
    <t>1.4.2019</t>
  </si>
  <si>
    <t>01.04.2020</t>
  </si>
  <si>
    <t>01.04.2021</t>
  </si>
  <si>
    <t>01.04.2022</t>
  </si>
  <si>
    <t>SC</t>
  </si>
  <si>
    <t>ST</t>
  </si>
  <si>
    <t>UG</t>
  </si>
  <si>
    <t>PH</t>
  </si>
  <si>
    <t>PMP</t>
  </si>
  <si>
    <t>DEF</t>
  </si>
  <si>
    <t>FF</t>
  </si>
  <si>
    <t>OSP</t>
  </si>
  <si>
    <t>OBC</t>
  </si>
  <si>
    <t>Open</t>
  </si>
  <si>
    <t>Total no. of Ros</t>
  </si>
  <si>
    <r>
      <rPr>
        <b/>
        <sz val="12"/>
        <rFont val="Book Antiqua"/>
        <family val="1"/>
      </rPr>
      <t xml:space="preserve">Note: </t>
    </r>
    <r>
      <rPr>
        <sz val="12"/>
        <rFont val="Book Antiqua"/>
        <family val="1"/>
      </rPr>
      <t xml:space="preserve">
(1)  SC: Scheduled Caste; ST: Scheduled Tribe; UG: Unemployed Graduate; UEG: Unemployed Engineering  Graduate.; PH: Physically Handicapped; DEF: Defence Category; FF: Freedom Fighter; OSP: Outstanding Sports Persons; OBC: Other Backward Classes; PMP: Para Military/Police/Govt. Personnel; Others: Includes Social Worker Category, Dealerships given on compassionate grounds/ under discretionary quota, 2/3 wheeler outlets and Company Owned and Operated outlets, Operation Vijay. 
(2)  Open category also includes private oil company retail outlets. 
(3) OP: Open Category</t>
    </r>
  </si>
  <si>
    <t>Shell</t>
  </si>
  <si>
    <t>Table 6.8 : Break-up of consumption data (PSU and Private)</t>
  </si>
  <si>
    <t>(TMT)</t>
  </si>
  <si>
    <t>PSU/JV</t>
  </si>
  <si>
    <t>Product</t>
  </si>
  <si>
    <t>PSU</t>
  </si>
  <si>
    <t xml:space="preserve">LPG </t>
  </si>
  <si>
    <t xml:space="preserve">Naphtha </t>
  </si>
  <si>
    <t xml:space="preserve">SKO </t>
  </si>
  <si>
    <t>PetCoke</t>
  </si>
  <si>
    <t>(Oil company sales+Private imports+SEZ sales to DTA=Consumption)</t>
  </si>
  <si>
    <r>
      <rPr>
        <b/>
        <sz val="10"/>
        <color theme="1"/>
        <rFont val="Book Antiqua"/>
        <family val="1"/>
      </rPr>
      <t>Note:</t>
    </r>
    <r>
      <rPr>
        <sz val="10"/>
        <color theme="1"/>
        <rFont val="Book Antiqua"/>
        <family val="1"/>
      </rPr>
      <t xml:space="preserve"> Private consumption includes direct imports as well as marketing by private oil companies.</t>
    </r>
  </si>
  <si>
    <t xml:space="preserve">
</t>
  </si>
  <si>
    <t>POL consumption by Product</t>
  </si>
  <si>
    <t>Distribution of total domestic POL sales in India</t>
  </si>
  <si>
    <t>Zone Distribution of total domestic POL sales in India</t>
  </si>
  <si>
    <t>EAST</t>
  </si>
  <si>
    <t>WEST</t>
  </si>
  <si>
    <t>NORTH</t>
  </si>
  <si>
    <t>NORTH EAST</t>
  </si>
  <si>
    <t>SOUTH</t>
  </si>
  <si>
    <t>CNG_CBG_LNG</t>
  </si>
  <si>
    <t>EV CHARGING</t>
  </si>
  <si>
    <t>AUTO LPG</t>
  </si>
  <si>
    <t>RETAIL OUTLETS WITH AT LEAST 1 ALTERNATE FUEL</t>
  </si>
  <si>
    <t xml:space="preserve">Source: Oil companies
</t>
  </si>
  <si>
    <t>Table 6.10 : Ethanol Blending Programme</t>
  </si>
  <si>
    <t>Sr.no.</t>
  </si>
  <si>
    <t>Ethanol received by PSU OMCs under EBP program (Quantity Cr. Litrs)</t>
  </si>
  <si>
    <t>Average percentage blending sales (EBP%)**</t>
  </si>
  <si>
    <t>Dadra And Nagar Haveli And Daman &amp; Diu</t>
  </si>
  <si>
    <t>* Ethanol Supply Year : Ethanol supplies take place between 1st December of the present year to 31st October of the following year.</t>
  </si>
  <si>
    <t>**EBP %age in all the States has been calculated based on the MS sale in the geographical limit of the respective State. In the States/UTs where receipt is zero but EBP %age has been calculated is due to the fact that sale of Ethanol blended MS which comes from nearby supply locations of other States contribute to the EBP %age in this State/UTs.</t>
  </si>
  <si>
    <t>Chapter-7:  Highlights</t>
  </si>
  <si>
    <t xml:space="preserve">Table 7.1 : LPG Marketing </t>
  </si>
  <si>
    <t>LPG production</t>
  </si>
  <si>
    <t>LPG consumption</t>
  </si>
  <si>
    <t>PSU sales</t>
  </si>
  <si>
    <t>of which:</t>
  </si>
  <si>
    <t>Domestic</t>
  </si>
  <si>
    <t>Non-Domestic</t>
  </si>
  <si>
    <t>Bulk</t>
  </si>
  <si>
    <t>Auto LPG</t>
  </si>
  <si>
    <t>PSU imports</t>
  </si>
  <si>
    <t>Private imports</t>
  </si>
  <si>
    <t>Import dependency percentage of LPG^</t>
  </si>
  <si>
    <t>(Lakh)</t>
  </si>
  <si>
    <t xml:space="preserve">Enrolment (domestic)                      </t>
  </si>
  <si>
    <t xml:space="preserve">As on </t>
  </si>
  <si>
    <t>1.4.2023</t>
  </si>
  <si>
    <t xml:space="preserve">LPG active domestic customers </t>
  </si>
  <si>
    <t>PMUY beneficiaries</t>
  </si>
  <si>
    <t>Non-domestic customers</t>
  </si>
  <si>
    <t>(Percent)</t>
  </si>
  <si>
    <t>LPG coverage (Estimated)</t>
  </si>
  <si>
    <t>(Nos.)</t>
  </si>
  <si>
    <t>LPG distributors</t>
  </si>
  <si>
    <t>Shehri Vitrak</t>
  </si>
  <si>
    <t>Rurban Vitrak</t>
  </si>
  <si>
    <t xml:space="preserve">Gramin &amp; Durgam Kshetriya Vitrak </t>
  </si>
  <si>
    <t>Auto LPG dispensing stations (ALDS)</t>
  </si>
  <si>
    <t>(TMTPA)</t>
  </si>
  <si>
    <t>Bottling capacity (rated)</t>
  </si>
  <si>
    <t>Gross tankage</t>
  </si>
  <si>
    <t>Source: Oil companies &amp; Directorate General of Commercial Intelligence and Statistics (DGCIS);    *PSU OMCs</t>
  </si>
  <si>
    <t>1. Data in respect of enrolment, customers, distributors, ALDS and rated bottling capacity pertain to PSU OMCs only.</t>
  </si>
  <si>
    <t>2. Gross tankage includes LPG tankage at LPG bottling plants owned by PSU oil companies, all refineries, fractionators and LPG import terminals.</t>
  </si>
  <si>
    <t>3. MOPNG vide letter no. P-20019/2/2016-LPG dated 23 June 2016 had issued unified guidelines for selection of LPG distributors. In the said guidelines, LPG distributor categories have been redefined. The historical data on LPG distributors has been rearranged in line with the new classification for comparison.</t>
  </si>
  <si>
    <t>4. * “ The LPG coverage is calculated by PSU OMCs based upon the active LPG domestic connections and the estimated number of households. The number of households has been projected by PSU OMCs based on 2011 census data. Factors like increasing nuclearization of families, migration of individuals/ families due to urbanization and reduction in average size of households etc. impact the growth of number of households. Due to these factors, the estimated no. of households through projection of 2011 census data may slightly differ from the actual no. of households in a State/UT. Further, this methodology does not include PNG (domestic) connections."
5. ^Import dependency percentage of LPG = {1-(production/consumption)}x100 %</t>
  </si>
  <si>
    <t xml:space="preserve">                          </t>
  </si>
  <si>
    <t xml:space="preserve">Table 7.2 : State-wise Active Domestic LPG connections </t>
  </si>
  <si>
    <t>(Number in lakhs)</t>
  </si>
  <si>
    <t>States/UT</t>
  </si>
  <si>
    <t>ANDAMAN &amp; NICOBAR ISLANDS</t>
  </si>
  <si>
    <t>CHHATTISGARH</t>
  </si>
  <si>
    <t>DADRA &amp; NAGAR HAVELI and DAMAN &amp; DIU</t>
  </si>
  <si>
    <t>,</t>
  </si>
  <si>
    <t>TAMILNADU</t>
  </si>
  <si>
    <t>ALL INDIA</t>
  </si>
  <si>
    <t>Table 7.3 : State-wise PMUY Connections</t>
  </si>
  <si>
    <t>Sr</t>
  </si>
  <si>
    <t>Sub Total North</t>
  </si>
  <si>
    <t>Sub Total North East</t>
  </si>
  <si>
    <t>Sub Total East</t>
  </si>
  <si>
    <t>Sub Total West</t>
  </si>
  <si>
    <t>Sub Total South</t>
  </si>
  <si>
    <t>“PMUY connections” refer to those households where subscription vouchers have been issued</t>
  </si>
  <si>
    <t>Region-wise</t>
  </si>
  <si>
    <t>North</t>
  </si>
  <si>
    <t>North-East</t>
  </si>
  <si>
    <t>East</t>
  </si>
  <si>
    <t>West</t>
  </si>
  <si>
    <t>South</t>
  </si>
  <si>
    <t>Table 7.4 : LPG Domestic customers enrolment (14.2 kg/5 kg) by PSU OMCs</t>
  </si>
  <si>
    <t>2021-22 (P)
Apr-Sep 2022</t>
  </si>
  <si>
    <t>14.2 Kg</t>
  </si>
  <si>
    <t>5 Kg</t>
  </si>
  <si>
    <t>Sub Total North-East</t>
  </si>
  <si>
    <t>Sheheri  Vitrak</t>
  </si>
  <si>
    <t>Gramin  Vitrak</t>
  </si>
  <si>
    <t>Durgam Kshetriya Vitrak</t>
  </si>
  <si>
    <t>Table 8.1 : Indian Basket Crude Oil Price</t>
  </si>
  <si>
    <t xml:space="preserve">               </t>
  </si>
  <si>
    <t>Indian basket</t>
  </si>
  <si>
    <t>($/bbl)</t>
  </si>
  <si>
    <t xml:space="preserve">2006-07 </t>
  </si>
  <si>
    <t xml:space="preserve">2007-08 </t>
  </si>
  <si>
    <t xml:space="preserve">2008-09 </t>
  </si>
  <si>
    <t xml:space="preserve">2009-10 </t>
  </si>
  <si>
    <t xml:space="preserve">2010-11 </t>
  </si>
  <si>
    <t>Trend in spreads of petroleum products vs Indian basket of crude oil</t>
  </si>
  <si>
    <t>Table 8.2 : Price built-up of PDS Kerosene at Mumbai</t>
  </si>
  <si>
    <t>Elements</t>
  </si>
  <si>
    <t>Price before taxes and dealers' commission</t>
  </si>
  <si>
    <t>₹ / litre</t>
  </si>
  <si>
    <t>Add : Dealers' commission</t>
  </si>
  <si>
    <t>Add : GST (incl GST on dealers' commission)</t>
  </si>
  <si>
    <t>Retail selling price</t>
  </si>
  <si>
    <t>-As per IOCL.</t>
  </si>
  <si>
    <t>Table 8.3 : Price built-up of Domestic LPG at Delhi</t>
  </si>
  <si>
    <t>Price before taxes and distributors' commission</t>
  </si>
  <si>
    <t>₹ / 14.2 kg cylinder</t>
  </si>
  <si>
    <t>Add : Distributors' commission</t>
  </si>
  <si>
    <t>Table 8.4 : Price built-up of Petrol at Delhi</t>
  </si>
  <si>
    <t xml:space="preserve">Add : Excise duty </t>
  </si>
  <si>
    <t>Add : Dealers' commission (average)</t>
  </si>
  <si>
    <t>Add : VAT (including VAT on dealers' commission)</t>
  </si>
  <si>
    <t>Table 8.5 : Price built-up of Diesel at Delhi</t>
  </si>
  <si>
    <t xml:space="preserve">Add : VAT (including VAT on dealer's commission) </t>
  </si>
  <si>
    <t xml:space="preserve">Retail selling price       </t>
  </si>
  <si>
    <t>₹/litre</t>
  </si>
  <si>
    <t>Share in RSP (%)</t>
  </si>
  <si>
    <t>Customs duty</t>
  </si>
  <si>
    <t>Excise duty</t>
  </si>
  <si>
    <t>Total taxes</t>
  </si>
  <si>
    <t>Basic duty</t>
  </si>
  <si>
    <t>Additional excise duty (Road &amp; Infrastructure Cess)</t>
  </si>
  <si>
    <t>Special additional excise duty</t>
  </si>
  <si>
    <t>Agriculture Infrastructure and Development Cess</t>
  </si>
  <si>
    <t>Total excise duty</t>
  </si>
  <si>
    <t>Table 8.6A : Excise duty on Export of  MS, HSD &amp; ATF and Special Additional Excise Duty (SAED) on Domestic Crude Production</t>
  </si>
  <si>
    <t>Effective Date</t>
  </si>
  <si>
    <t>Excise duty on Export</t>
  </si>
  <si>
    <t>SAED on production of Crude oil</t>
  </si>
  <si>
    <t>Motor Spirit</t>
  </si>
  <si>
    <t xml:space="preserve">High Speed Diesel </t>
  </si>
  <si>
    <t>Source: www.cbic.gov.in</t>
  </si>
  <si>
    <t xml:space="preserve"> Share of taxes in retail selling price of petroleum products</t>
  </si>
  <si>
    <t>GST (Including GST on dealers' commission)</t>
  </si>
  <si>
    <t>Dealers' commission</t>
  </si>
  <si>
    <t>GST (including GST on distributors' commission)</t>
  </si>
  <si>
    <t xml:space="preserve">Distributors' commission </t>
  </si>
  <si>
    <t xml:space="preserve">Table 8.9 : Weightage of crude oil, natural gas and petroleum products in Wholesale Price Index (WPI) </t>
  </si>
  <si>
    <t>Weight in %</t>
  </si>
  <si>
    <t>Crude Petroleum</t>
  </si>
  <si>
    <t>Lube Oils</t>
  </si>
  <si>
    <t>Petroleum Coke</t>
  </si>
  <si>
    <t>(₹/KL)</t>
  </si>
  <si>
    <t>Effective date</t>
  </si>
  <si>
    <t>As on 1-Apr-04</t>
  </si>
  <si>
    <t>₹ 1390.15/KL + 0.883% of product billable price</t>
  </si>
  <si>
    <t>₹ 1499.37/KL + 0.887% of product billable price</t>
  </si>
  <si>
    <t>₹ 1116.09/KL + 0.290% of product billable price</t>
  </si>
  <si>
    <t>₹ 1749.86/KL + 0.883% of product billable price</t>
  </si>
  <si>
    <t>₹ 1301.70/KL + 0.286% of product billable price</t>
  </si>
  <si>
    <t>₹ 1750.08/KL + 0.883% of product billable price</t>
  </si>
  <si>
    <t>₹ 1301.88/KL + 0.286% of product billable price</t>
  </si>
  <si>
    <t>₹ 1750.29/KL + 0.883% of product billable price</t>
  </si>
  <si>
    <t>₹ 1302.06/KL + 0.286% of product billable price</t>
  </si>
  <si>
    <t>Table 8.11 : Wholesale dealers' commission on PDS kerosene</t>
  </si>
  <si>
    <t> Effective date</t>
  </si>
  <si>
    <t>With form XV</t>
  </si>
  <si>
    <t>Other than form XV</t>
  </si>
  <si>
    <t>As on 01-Apr-04</t>
  </si>
  <si>
    <t>Table 8.12: Distributors' commission on domestic LPG</t>
  </si>
  <si>
    <t>(₹/ cylinder)</t>
  </si>
  <si>
    <t>14.2 KG cyl.</t>
  </si>
  <si>
    <t>Additional commission for sale at market determined price (₹/14.2 KG cyl.)</t>
  </si>
  <si>
    <t>5 KG cyl.</t>
  </si>
  <si>
    <t>As on 01-April-04</t>
  </si>
  <si>
    <t>NA</t>
  </si>
  <si>
    <t>India (New Delhi)</t>
  </si>
  <si>
    <t>Pakistan (Lahore)</t>
  </si>
  <si>
    <t>Sri Lanka  (Colombo)</t>
  </si>
  <si>
    <t>Nepal (Kathmandu)</t>
  </si>
  <si>
    <t xml:space="preserve">India (Delhi) </t>
  </si>
  <si>
    <t>UK</t>
  </si>
  <si>
    <t>City</t>
  </si>
  <si>
    <t xml:space="preserve"> Domestic LPG (₹/14.2 KG Cylinder)</t>
  </si>
  <si>
    <t>(₹/litre)</t>
  </si>
  <si>
    <t>Non subsidized</t>
  </si>
  <si>
    <t>Amaravati</t>
  </si>
  <si>
    <t>Itanagar</t>
  </si>
  <si>
    <t>Patna</t>
  </si>
  <si>
    <t>Raipur</t>
  </si>
  <si>
    <t>Dadra and Nagar Haveli and Daman &amp; Diu</t>
  </si>
  <si>
    <t>Daman</t>
  </si>
  <si>
    <t>New Delhi</t>
  </si>
  <si>
    <t>Gandhinagar</t>
  </si>
  <si>
    <t>Ambala</t>
  </si>
  <si>
    <t>Shimla</t>
  </si>
  <si>
    <t>Srinagar</t>
  </si>
  <si>
    <t>Ranchi</t>
  </si>
  <si>
    <t>Bengaluru</t>
  </si>
  <si>
    <t>Thiruvananthapuram</t>
  </si>
  <si>
    <t>Leh</t>
  </si>
  <si>
    <t>Bhopal</t>
  </si>
  <si>
    <t>Imphal</t>
  </si>
  <si>
    <t>Shillong</t>
  </si>
  <si>
    <t>Aizawl</t>
  </si>
  <si>
    <t>Kohima</t>
  </si>
  <si>
    <t>Bhubaneswar</t>
  </si>
  <si>
    <t>Jaipur</t>
  </si>
  <si>
    <t>Gangtok</t>
  </si>
  <si>
    <t>Chennai</t>
  </si>
  <si>
    <t>Hyderabad</t>
  </si>
  <si>
    <t>Agartala</t>
  </si>
  <si>
    <t>Lucknow</t>
  </si>
  <si>
    <t>Dehradun</t>
  </si>
  <si>
    <t>Kolkata</t>
  </si>
  <si>
    <t>Metro City</t>
  </si>
  <si>
    <t xml:space="preserve">Kolkata </t>
  </si>
  <si>
    <t>Customs</t>
  </si>
  <si>
    <t>Basic customs duty</t>
  </si>
  <si>
    <t>Additional customs duty (CVD)</t>
  </si>
  <si>
    <t>Additional customs duty</t>
  </si>
  <si>
    <t>Additional excise duty (Road and Infrastructure Cess)</t>
  </si>
  <si>
    <t>Rs.1/MT</t>
  </si>
  <si>
    <t>Rs.5.00/ltr.</t>
  </si>
  <si>
    <t>Rs.1.40/ltr</t>
  </si>
  <si>
    <t>Rs.2.60/ltr</t>
  </si>
  <si>
    <t>Rs.2.00/ltr.</t>
  </si>
  <si>
    <t>Rs.1.80/ltr</t>
  </si>
  <si>
    <t>Liquefied Natural Gas (LNG)</t>
  </si>
  <si>
    <t>Nil</t>
  </si>
  <si>
    <t>GST</t>
  </si>
  <si>
    <t>Basic 
Customs Duty</t>
  </si>
  <si>
    <t>CVD (in lieu of IGST)</t>
  </si>
  <si>
    <t>Domestic (Note-3)</t>
  </si>
  <si>
    <t>Non - Domestic</t>
  </si>
  <si>
    <t>PDS</t>
  </si>
  <si>
    <t>Non PDS</t>
  </si>
  <si>
    <t>Non- Fertilizer</t>
  </si>
  <si>
    <t xml:space="preserve">Butane / Propane </t>
  </si>
  <si>
    <t>Domestic (Note-5)</t>
  </si>
  <si>
    <t>Bitumen &amp; Asphalt</t>
  </si>
  <si>
    <t>Furnace Oil</t>
  </si>
  <si>
    <t>Light Diesel Oil</t>
  </si>
  <si>
    <t>Low Sulphur Heavy Stock/ HPS &amp; other Residue</t>
  </si>
  <si>
    <t>Lube oil/greases</t>
  </si>
  <si>
    <t>Petroleum Jelly</t>
  </si>
  <si>
    <t>Transformer Oil</t>
  </si>
  <si>
    <t>Waxes all types</t>
  </si>
  <si>
    <t>Note :</t>
  </si>
  <si>
    <t>2. In case of ATF, Basic Excise Duty /Additional Customs Duty (CVD) is 2% in place of 11%, for supply to scheduled commuter airlines (SCA) from the regional connectivity scheme (RCS) airports.</t>
  </si>
  <si>
    <t>4.An additional Basic Excise duty @Rs 2/ltr has been levied on unblended petrol (not blended with ethanol or methonal) intended for retail sale w.e.f. 01.11.2022.</t>
  </si>
  <si>
    <t>5.Basic Customs duty is Nil for import of Butane / Propane intended to be used as domestic LPG sold to household consumers (including NDEC) by PSU OMCs.</t>
  </si>
  <si>
    <t>PDS kerosene</t>
  </si>
  <si>
    <t>Domestic LPG</t>
  </si>
  <si>
    <t>Sales Tax /VAT</t>
  </si>
  <si>
    <t>31% VAT + Rs.4/litre VAT+Rs.1/litre Road Development Cess and Vat thereon</t>
  </si>
  <si>
    <t>22.25% VAT + Rs.4/litre VAT+Rs.1/litre Road Development Cess and Vat thereon</t>
  </si>
  <si>
    <t>22.19% OR Rs. 14.60 per litre whichever is higher
Rebate of Rs. 1.50 per litre subject to minimum tax of Rs. 14.60 per litre</t>
  </si>
  <si>
    <t>23.58% or Rs 16.65/Litre whichever is higher (30% Surcharge on VAT as irrecoverable tax)</t>
  </si>
  <si>
    <t>16.37% or Rs 12.33/Litre whichever is higher (30% Surcharge on VAT as irrecoverable tax)</t>
  </si>
  <si>
    <t>Rs.10/KL cess +15.24% or Rs 12.42 per liter which ever is higher</t>
  </si>
  <si>
    <t>Rs.10/KL cess + 6.66% or Rs5.07 per liter which ever is higher</t>
  </si>
  <si>
    <t>23% VAT + Rs.1/litre VAT</t>
  </si>
  <si>
    <t>12.75% VAT</t>
  </si>
  <si>
    <t>13.50% VAT</t>
  </si>
  <si>
    <t>19.40% VAT</t>
  </si>
  <si>
    <t>Rs.250/KL air ambience charges + 16.75% VAT</t>
  </si>
  <si>
    <t>21.5% VAT + 0.5% Green cess</t>
  </si>
  <si>
    <t>17.5% VAT + 0.5% Green cess</t>
  </si>
  <si>
    <t>13.7% VAT+ 4% Cess on Town Rate &amp; VAT</t>
  </si>
  <si>
    <t>14.9% VAT + 4 % Cess on Town Rate &amp; VAT</t>
  </si>
  <si>
    <t>18.20% or Rs.14.50/litre whichever is higher as VAT+5% additional tax on VAT</t>
  </si>
  <si>
    <t>16% VAT or Rs.11.86/litre whichever is higher as VAT+5% additional tax on VAT</t>
  </si>
  <si>
    <t>17.50% or Rs 13.50/Litre- whichever is higher</t>
  </si>
  <si>
    <t>13.90% or Rs 10.40/Litre- whichever is higher</t>
  </si>
  <si>
    <t>22% on the sale price or Rs. 17.00 per litre , which ever is higher + Cess of Rs 1.00 per Ltr</t>
  </si>
  <si>
    <t>22% on the sale price or Rs. 12.50 per litre , which ever is higher + Cess of Rs 1.00 per Ltr</t>
  </si>
  <si>
    <t>29.84% sales tax</t>
  </si>
  <si>
    <t>30.08% sales tax+ Rs.1/litre additional sales tax + 1% cess , Social security cess Rs.2 per litre</t>
  </si>
  <si>
    <t>22.76% sales tax+ Rs.1/litre additional sales tax + 1% cess , Social security cess Rs.2 per litre</t>
  </si>
  <si>
    <t>15% MST+ Rs.5/Litre employment cess, Reduction of Rs.2.5/Litre</t>
  </si>
  <si>
    <t>6% MST+ Rs.1/Litre employment cess , Reduction of Rs.0.50/Litre</t>
  </si>
  <si>
    <t>10% VAT</t>
  </si>
  <si>
    <t>29 % VAT + Rs.2.5/litre VAT+1%Cess</t>
  </si>
  <si>
    <t>19% VAT+ Rs.1.50/litre VAT+1% Cess</t>
  </si>
  <si>
    <t xml:space="preserve">25% VAT+ Rs.5.12/Litre additional tax </t>
  </si>
  <si>
    <t>21% VAT</t>
  </si>
  <si>
    <t>Maharashtra (Rest of State)</t>
  </si>
  <si>
    <t>25% VAT</t>
  </si>
  <si>
    <t xml:space="preserve">13.50% or Rs13.50/Litre- whichever is higher (Rs.0.10/Litre pollution surcharge) </t>
  </si>
  <si>
    <t>18%, Social Infrastructure and Services Cess Rs 2000/KL, Road Maintenance Cess Rs 2000/KL</t>
  </si>
  <si>
    <t>10%, Social Infrastructure and Services Cess Rs 2000/KL, Road Maintenance Cess Rs 2000/KL</t>
  </si>
  <si>
    <t xml:space="preserve">21.75% VAT or Rs. 16.94/litre whichever is higher </t>
  </si>
  <si>
    <t xml:space="preserve">17.20% VAT or Rs. 12.83/litre whichever is higher </t>
  </si>
  <si>
    <t>28% VAT</t>
  </si>
  <si>
    <t>24% VAT</t>
  </si>
  <si>
    <t>Rs.2050/KL (cess)+ Rs.0.10 per Litre (Urban Transport Fund) + 0.25 per Litre (Special Infrastructure Development Fee)+16.58% VAT plus 10% additional tax  or Rs.14.93/Litre whichever is higher</t>
  </si>
  <si>
    <t>Rs.1050/KL (cess) + Rs.0.10 per Litre (Urban Transport Fund) +0.25 per Litre (Special Infrastructure Development Fee) + 13.1% VAT plus 10% additional tax  and  or Rs.10.94/Litre whichever is higher</t>
  </si>
  <si>
    <t>29.04% VAT+Rs 1500/KL road development cess</t>
  </si>
  <si>
    <t>17.30% VAT+ Rs.1750/KL road development cess</t>
  </si>
  <si>
    <t>13% + Rs.11.52 per litre</t>
  </si>
  <si>
    <t>11%  + Rs.9.62 per litre</t>
  </si>
  <si>
    <t>35.20% VAT</t>
  </si>
  <si>
    <t>27% VAT</t>
  </si>
  <si>
    <t>17.50% VAT+ 3% Tripura Road Development Cess</t>
  </si>
  <si>
    <t>10.00% VAT+ 3% Tripura Road Development Cess</t>
  </si>
  <si>
    <t>19.36% or Rs 14.85/Litre whichever is higher</t>
  </si>
  <si>
    <t>17.08% or Rs 10.41/Litre whichever is higher</t>
  </si>
  <si>
    <t>16.97% or Rs 13.14 Per Ltr whichever is greater</t>
  </si>
  <si>
    <t>17.15% or Rs Rs 10.41 Per Ltr whichever is greater</t>
  </si>
  <si>
    <t>25% or Rs.13.12/litre whichever is higher as sales tax+ Rs.1000/KL cess(20% Additional tax on VAT as irrecoverable tax)</t>
  </si>
  <si>
    <t>17% or Rs.7.70/litre whichever is higher as sales tax + Rs 1000/KL cess (20% Additional tax on VAT as irrecoverable tax)</t>
  </si>
  <si>
    <t>For Petrol &amp; Diesel, VAT/Sales Tax at applicable rates is also levied on Dealer’s commission in  Delhi, Gujarat, Dadra &amp; Nagar Haveli and Daman &amp;Diu, Punjab, Haryana, Madhya Pradesh,  Rajasthan, Chandigarh, Puducherry, Andaman &amp; Nikobar, Meghalaya &amp; Lakshadweep.</t>
  </si>
  <si>
    <t xml:space="preserve">Table 8.18 : Contribution of petroleum sector to exchequer </t>
  </si>
  <si>
    <t>(₹ Crore)</t>
  </si>
  <si>
    <t>1. Contribution to Central exchequer</t>
  </si>
  <si>
    <t xml:space="preserve">A. </t>
  </si>
  <si>
    <t>Tax/ duties on crude oil &amp; petroleum products</t>
  </si>
  <si>
    <t>Cess on crude oil</t>
  </si>
  <si>
    <t>Royalty on crude oil / natural gas</t>
  </si>
  <si>
    <t>NCCD on Crude Oil</t>
  </si>
  <si>
    <t>Service tax</t>
  </si>
  <si>
    <t>IGST</t>
  </si>
  <si>
    <t>CGST</t>
  </si>
  <si>
    <t>Sub total    (A)</t>
  </si>
  <si>
    <t>B.</t>
  </si>
  <si>
    <t xml:space="preserve">Dividend to Government/ income tax etc. </t>
  </si>
  <si>
    <t>Corporate/ income tax</t>
  </si>
  <si>
    <t>Dividend income to Central Government</t>
  </si>
  <si>
    <t>Profit petroleum on exploration of oil/ gas*</t>
  </si>
  <si>
    <t>Sub total    (B)</t>
  </si>
  <si>
    <t>Total contribution to Central exchequer                  (A+B)</t>
  </si>
  <si>
    <t>2. Contribution to State exchequer</t>
  </si>
  <si>
    <t>C.</t>
  </si>
  <si>
    <t xml:space="preserve">Sales tax/ VAT     </t>
  </si>
  <si>
    <t>SGST/UTGST</t>
  </si>
  <si>
    <t>Octroi/ duties (incl. electricity duty)</t>
  </si>
  <si>
    <t>Entry tax / others</t>
  </si>
  <si>
    <t>Sub total    (C)</t>
  </si>
  <si>
    <t>D.</t>
  </si>
  <si>
    <t xml:space="preserve">Dividend to Government/ direct tax etc. </t>
  </si>
  <si>
    <t>Dividend income to State Government</t>
  </si>
  <si>
    <t>Sub total    (D)</t>
  </si>
  <si>
    <t>Total contribution to State exchequer                      (C+D)</t>
  </si>
  <si>
    <t>Total contribution of petroleum sector to exchequer (1+2)</t>
  </si>
  <si>
    <t>Note: Totals may not tally due to round off</t>
  </si>
  <si>
    <t xml:space="preserve">* as provided by MOP&amp;NG. </t>
  </si>
  <si>
    <t>Table 8.19 : State/UT wise collection of sales tax/ VAT by petroleum sector</t>
  </si>
  <si>
    <t>₹ Crore</t>
  </si>
  <si>
    <t>State/Union territory</t>
  </si>
  <si>
    <t xml:space="preserve">TOTAL </t>
  </si>
  <si>
    <t>Totals may not tally due to round off</t>
  </si>
  <si>
    <t xml:space="preserve">Table 8.20 : State/UT wise collection of SGST/UTGST by petroleum sector </t>
  </si>
  <si>
    <t>State/Union territory/Others</t>
  </si>
  <si>
    <t>Other territory (Offshore areas of India beyond 12 Nautical Miles)</t>
  </si>
  <si>
    <t xml:space="preserve">Table 8.21: Profit After Tax (PAT) of oil companies </t>
  </si>
  <si>
    <t>Companies</t>
  </si>
  <si>
    <t>PSU upstream/midstream companies</t>
  </si>
  <si>
    <t>PSU downstream Oil Marketing Companies (OMCs)</t>
  </si>
  <si>
    <t>BPCL*</t>
  </si>
  <si>
    <t>PSU stand alone refineries</t>
  </si>
  <si>
    <t>PSU consultancy company</t>
  </si>
  <si>
    <t>EIL</t>
  </si>
  <si>
    <t>Private sector companies</t>
  </si>
  <si>
    <t>Sales turnover</t>
  </si>
  <si>
    <t>Profit Before Interest and Tax (PBIT)</t>
  </si>
  <si>
    <t>Interest</t>
  </si>
  <si>
    <t>Tax</t>
  </si>
  <si>
    <t>Profit After Tax (PAT)</t>
  </si>
  <si>
    <t>Net worth</t>
  </si>
  <si>
    <t>Borrowings (loan fund)</t>
  </si>
  <si>
    <t>Ratios</t>
  </si>
  <si>
    <t>PAT as % of turnover (net sales)</t>
  </si>
  <si>
    <t>Debt (loan fund) to equity ratio</t>
  </si>
  <si>
    <t>Earnings Per Share (EPS)</t>
  </si>
  <si>
    <t>Table 8.23 : Total subsidy on Peroleum Products &amp; Natural Gas</t>
  </si>
  <si>
    <t xml:space="preserve">PDS kerosene </t>
  </si>
  <si>
    <t xml:space="preserve">Domestic LPG </t>
  </si>
  <si>
    <t>Total under-recoveries               (A)</t>
  </si>
  <si>
    <t>Direct Benefit Transfer for LPG (DBTL) subsidy</t>
  </si>
  <si>
    <t>Project Management Expenditure (PME)*</t>
  </si>
  <si>
    <t xml:space="preserve">Total DBTL related subsidies               (B) </t>
  </si>
  <si>
    <t xml:space="preserve">Pradhan Mantri Ujjwala Yojana (PMUY) claims </t>
  </si>
  <si>
    <t>Project Management Expenditure (PME) &amp; Information Education and Communication (IEC) expenditure under PMUY*</t>
  </si>
  <si>
    <t>Total PMUY related subsidy            (C)</t>
  </si>
  <si>
    <t>Direct Benefit Transfer of Kerosene (DBTK) subsidy (D)</t>
  </si>
  <si>
    <t>PMGKY (E)</t>
  </si>
  <si>
    <t>Natural gas subsidy for North East</t>
  </si>
  <si>
    <t>Scheme for Promotion of Flagging of Merchant Ships in India</t>
  </si>
  <si>
    <t>Other subsidies                            (F)</t>
  </si>
  <si>
    <t xml:space="preserve">Total subsidy/ under-recovery on petroleum products &amp; natural gas         (A+B+C+D+E+F)                                    </t>
  </si>
  <si>
    <t xml:space="preserve">*on payment basis. </t>
  </si>
  <si>
    <t>Table 8.24 :  Quantity and value of Indian crude oil imports</t>
  </si>
  <si>
    <t>Quantity (Million Bbl)</t>
  </si>
  <si>
    <t>$ Million</t>
  </si>
  <si>
    <t>Rs. Crore</t>
  </si>
  <si>
    <t>$/bbl (approx)</t>
  </si>
  <si>
    <t xml:space="preserve">2019-20 </t>
  </si>
  <si>
    <t>Table 9.1 : Average international Calorific Values of different fuels</t>
  </si>
  <si>
    <t xml:space="preserve">A.  </t>
  </si>
  <si>
    <t>Oil products</t>
  </si>
  <si>
    <t>M Cals/tonne or K Cal/Kg</t>
  </si>
  <si>
    <t>NGL</t>
  </si>
  <si>
    <t>Motor Gasoline</t>
  </si>
  <si>
    <t>Natural gas production (average) - India</t>
  </si>
  <si>
    <t>8000-9480 K cal/SCM</t>
  </si>
  <si>
    <t>Charcoal</t>
  </si>
  <si>
    <t>Hard coal</t>
  </si>
  <si>
    <t>Firewood</t>
  </si>
  <si>
    <t>Lignite-Brown coal</t>
  </si>
  <si>
    <t>Conversion factors</t>
  </si>
  <si>
    <t>Table 9.2 : Weight to volume conversion</t>
  </si>
  <si>
    <t>Weight 
(MT)</t>
  </si>
  <si>
    <t>Volume 
(KL)</t>
  </si>
  <si>
    <t>BBL</t>
  </si>
  <si>
    <t>To convert volume at 29.5° C  to volume at 15° C multiply by</t>
  </si>
  <si>
    <t>Crude Oil</t>
  </si>
  <si>
    <t>Table 9.3 : Volume conversion</t>
  </si>
  <si>
    <t xml:space="preserve">1 US Bbl. </t>
  </si>
  <si>
    <t>159 Litres</t>
  </si>
  <si>
    <t>1 US Gallon</t>
  </si>
  <si>
    <t>3.78 Litres</t>
  </si>
  <si>
    <t>1 Kilo Litre (KL)</t>
  </si>
  <si>
    <t>6.29 Bbl.</t>
  </si>
  <si>
    <t>42 Gallons</t>
  </si>
  <si>
    <t>1 MBD (million barrels per day)</t>
  </si>
  <si>
    <t>50 MMTPA</t>
  </si>
  <si>
    <t>Table 9.4 : Contents of LPG &amp; Natural Gas</t>
  </si>
  <si>
    <t xml:space="preserve">Natural Gas </t>
  </si>
  <si>
    <t xml:space="preserve">Contains 60-95 % Methane </t>
  </si>
  <si>
    <t>Contains Propane (40%) &amp; Butane (60%)</t>
  </si>
  <si>
    <t>Table 9.5 : Natural Gas Conversions</t>
  </si>
  <si>
    <t>1 SCM (Standard Cubic Meter)</t>
  </si>
  <si>
    <t>= 1 cubic metre @ 1 atmosphere pressure and 15.56 ° C</t>
  </si>
  <si>
    <t>1 Cubic Metre</t>
  </si>
  <si>
    <t>= 35.31 Cubic feet</t>
  </si>
  <si>
    <t>1 BCM(Billion Cubic Metre) / Year of gas (consumption or production)</t>
  </si>
  <si>
    <t>= 2.74 MMSCMD</t>
  </si>
  <si>
    <t>365 days a year</t>
  </si>
  <si>
    <t>1 TCF (Trillion Cubic Feet) of Gas Reserve</t>
  </si>
  <si>
    <t>= 3.88 MMSCMD</t>
  </si>
  <si>
    <t>100% recoverable for 20 years @ 365 days / annum)</t>
  </si>
  <si>
    <t>1 MMTPA of LNG</t>
  </si>
  <si>
    <t>= 3.60 MMSCMD</t>
  </si>
  <si>
    <t>Molecular weight of 18 @ 365 days/annum)</t>
  </si>
  <si>
    <t>1 MT of LNG</t>
  </si>
  <si>
    <t>= 1314 SCM</t>
  </si>
  <si>
    <t>Molecular weight of 18</t>
  </si>
  <si>
    <t>Gross Calorific Value (GCV)</t>
  </si>
  <si>
    <t>= 10000 Kcal/ SCM</t>
  </si>
  <si>
    <t>Net Calorific Value (NCV)</t>
  </si>
  <si>
    <t>= 90% of GCV</t>
  </si>
  <si>
    <t>1 Million BTU (MMBTU)</t>
  </si>
  <si>
    <t>= 25.2 SCM</t>
  </si>
  <si>
    <t>@10000 Kcal/SCM; 1 MMBTU= 252,000 Kcal)</t>
  </si>
  <si>
    <t>Specific Gravity of Gas</t>
  </si>
  <si>
    <t>= 0.62</t>
  </si>
  <si>
    <t>Molecular weight of dry air=28.964 gm/mole)</t>
  </si>
  <si>
    <t>Density of Gas</t>
  </si>
  <si>
    <t>= 0.76 Kg/SCM</t>
  </si>
  <si>
    <t>Molecular weight of gas 18 gm/mol</t>
  </si>
  <si>
    <t>Gas required for 1 MW of Power generation</t>
  </si>
  <si>
    <t>= 4541 SCM per day</t>
  </si>
  <si>
    <t>Station Heat Rate (SHR);~1720 Kcal/Kwh-NCV (50% Thermal Efficiency); Natural Gas GCV-@10000Kcal/SCM</t>
  </si>
  <si>
    <t>Power Generation from 1 MMSCMD Gas</t>
  </si>
  <si>
    <t>= 220 MWH</t>
  </si>
  <si>
    <r>
      <rPr>
        <b/>
        <sz val="12"/>
        <rFont val="Book Antiqua"/>
        <family val="1"/>
      </rPr>
      <t xml:space="preserve">Source </t>
    </r>
    <r>
      <rPr>
        <sz val="12"/>
        <rFont val="Book Antiqua"/>
        <family val="1"/>
      </rPr>
      <t>: GAIL (India) Ltd.</t>
    </r>
  </si>
  <si>
    <t>Table 9.6 : Major end use of petroleum products</t>
  </si>
  <si>
    <t>Major end use</t>
  </si>
  <si>
    <t>Domestic and auto fuel. Also for industrial application where technically essential. Now permittes as auto fuel.</t>
  </si>
  <si>
    <t>Feedstock/fuel for fertiliser units, feedstock for petrochemical sector and fuel for power plants.</t>
  </si>
  <si>
    <t>Fuel for passenger cars, taxies, two &amp; three wheelers.</t>
  </si>
  <si>
    <t>Fuel for aircrafts.</t>
  </si>
  <si>
    <t>Fuel for cooking &amp; lighting.</t>
  </si>
  <si>
    <t>Fuel for transport sector (railways/road), agriculture (tractors, pumpsets, threshers, etc.) and captive power generation.</t>
  </si>
  <si>
    <t>Fuel for agricultural pumpsets, small industrial units, start up fuel for power generation.</t>
  </si>
  <si>
    <t>Secondary fuel for thermal power plants, fuel/feedstock for fertiliser plants, industrial units.</t>
  </si>
  <si>
    <t>Surfacing of roads.</t>
  </si>
  <si>
    <t>Lubrication for automotive and industrial applications.</t>
  </si>
  <si>
    <t>Petrloleum coke</t>
  </si>
  <si>
    <t>Fuel grade petcoke is used as fuel for cement kilns and electric power plants. Calcined petcoke is used to manufacture energy as well as in the aluminium, graphite electrode, steel, titanium dioxide and other carbon consuming industries.</t>
  </si>
  <si>
    <t>Other products (Benzene, Toluene, MTO, LABFS, CBFS, Paraffin wax etc.)</t>
  </si>
  <si>
    <t>Feedstock for value added products.</t>
  </si>
  <si>
    <t>Barrel</t>
  </si>
  <si>
    <t>BCM</t>
  </si>
  <si>
    <t>Billion Cubic Meter</t>
  </si>
  <si>
    <t>BPRL</t>
  </si>
  <si>
    <t>Bharat Petro Resources Limited</t>
  </si>
  <si>
    <t>CBM</t>
  </si>
  <si>
    <t>Coal Bed Methane</t>
  </si>
  <si>
    <t>Cauvery Basin Refinery</t>
  </si>
  <si>
    <t>CGD</t>
  </si>
  <si>
    <t>City Gas Distribution</t>
  </si>
  <si>
    <t>CNG</t>
  </si>
  <si>
    <t>Compressed Natural Gas</t>
  </si>
  <si>
    <t>DBTL</t>
  </si>
  <si>
    <t>Direct Benefit Transfer for LPG</t>
  </si>
  <si>
    <t>DGCIS</t>
  </si>
  <si>
    <t>Directorate General of Commercial Intelligence and Statistics</t>
  </si>
  <si>
    <t>DGH</t>
  </si>
  <si>
    <t>Directorate General of Hydrocarbons</t>
  </si>
  <si>
    <t>Discovered Small Field</t>
  </si>
  <si>
    <t>EBP</t>
  </si>
  <si>
    <t>Ethanol Blending Programe</t>
  </si>
  <si>
    <t>FBIL</t>
  </si>
  <si>
    <t>Financial Benchmark India Private Limited</t>
  </si>
  <si>
    <t>GA</t>
  </si>
  <si>
    <t>Geographical Areas</t>
  </si>
  <si>
    <t>Gas Authority of India Limited</t>
  </si>
  <si>
    <t>GREP</t>
  </si>
  <si>
    <t xml:space="preserve">Gas Rehabilitation and Expansion Project </t>
  </si>
  <si>
    <t>GRM</t>
  </si>
  <si>
    <t>Gross Refining Margins</t>
  </si>
  <si>
    <t xml:space="preserve">Gujarat State Petronet Limited </t>
  </si>
  <si>
    <t>Goods &amp; Service Tax</t>
  </si>
  <si>
    <t>HELP</t>
  </si>
  <si>
    <t>Hydrocarbon Exploration and Licensing Policy</t>
  </si>
  <si>
    <t>IEA</t>
  </si>
  <si>
    <t>International Energy Agency</t>
  </si>
  <si>
    <t>KL</t>
  </si>
  <si>
    <t>Kilo Litre</t>
  </si>
  <si>
    <t>LNG</t>
  </si>
  <si>
    <t>Liquified Natural Gas</t>
  </si>
  <si>
    <t>Liquified Petroleum Gas</t>
  </si>
  <si>
    <t>MBN</t>
  </si>
  <si>
    <t>MBTU/Bbl/NRGF</t>
  </si>
  <si>
    <t>MBTU</t>
  </si>
  <si>
    <t>Thousand British Thermal Unit</t>
  </si>
  <si>
    <t>MMBTU</t>
  </si>
  <si>
    <t>Metric Million British Thermal Unit</t>
  </si>
  <si>
    <t xml:space="preserve">MMSCMD </t>
  </si>
  <si>
    <t>Million Standard Cubic Meter Per Day</t>
  </si>
  <si>
    <t>Million Metric Tonne</t>
  </si>
  <si>
    <t>MMTPA</t>
  </si>
  <si>
    <t>Million Metric Tonne Per Annum</t>
  </si>
  <si>
    <t>Ministry of Agriculture</t>
  </si>
  <si>
    <t>Ministry of Commerce &amp; Industry</t>
  </si>
  <si>
    <t>Ministry of Finance</t>
  </si>
  <si>
    <t>MoP&amp;NG</t>
  </si>
  <si>
    <t>Ministry of Petroleum &amp; Natural Gas</t>
  </si>
  <si>
    <t>Ministry of Statistics and Programme Implementation</t>
  </si>
  <si>
    <t>Mangalore Refinery and Petrochemicals Limited</t>
  </si>
  <si>
    <t>Million tonnes of oil equivalent,</t>
  </si>
  <si>
    <t>NELP</t>
  </si>
  <si>
    <t>New Exploration Licensing Policy</t>
  </si>
  <si>
    <t>NGLs</t>
  </si>
  <si>
    <t>Natural Gas Liquids</t>
  </si>
  <si>
    <t>Numaligarh Refinery Limited</t>
  </si>
  <si>
    <t>Open Acreage Licensing Policy</t>
  </si>
  <si>
    <t>OECD</t>
  </si>
  <si>
    <t>Organisation for Economic Co-operation and Development</t>
  </si>
  <si>
    <t>OMCs</t>
  </si>
  <si>
    <t>Oil Marketing Companies</t>
  </si>
  <si>
    <t>Oil and Natural Gas Corporation Limited</t>
  </si>
  <si>
    <t>OPEC</t>
  </si>
  <si>
    <t>Organization of the Petroleum Exporting Countries</t>
  </si>
  <si>
    <t>Public Distribution System</t>
  </si>
  <si>
    <t>PMUY</t>
  </si>
  <si>
    <t>Pradhan Mantri Ujjwala Yojana</t>
  </si>
  <si>
    <t>PNG</t>
  </si>
  <si>
    <t>Piped Natural Gas</t>
  </si>
  <si>
    <t>POL</t>
  </si>
  <si>
    <t>Petroleum, Oil and Lubricants</t>
  </si>
  <si>
    <t>PSC</t>
  </si>
  <si>
    <t>Production Sharing Contracts</t>
  </si>
  <si>
    <t>Public Sector Undertaking</t>
  </si>
  <si>
    <t>R/P ratio</t>
  </si>
  <si>
    <t>Reserves-to-production ratio</t>
  </si>
  <si>
    <t>Reserve Bank of India</t>
  </si>
  <si>
    <t>SEZ</t>
  </si>
  <si>
    <t>Special Economic Zone</t>
  </si>
  <si>
    <t>Trillion cubic feet</t>
  </si>
  <si>
    <t>Tonnes of oil equivalent</t>
  </si>
  <si>
    <t>WPI</t>
  </si>
  <si>
    <t>Wholesale Price Index</t>
  </si>
  <si>
    <t>2024-25 (OE)</t>
  </si>
  <si>
    <t>iii) Rural labourers (Add No of direct employee and indirect employees in PSE)</t>
  </si>
  <si>
    <t>ii) Agricultural Labourers</t>
  </si>
  <si>
    <t>i) Industrial Worker</t>
  </si>
  <si>
    <t>Table 2.1: World top 30 crude oil countries-Proven Reserves</t>
  </si>
  <si>
    <t>Give Latest info about India</t>
  </si>
  <si>
    <t>GDP</t>
  </si>
  <si>
    <t>GDP Growth</t>
  </si>
  <si>
    <t>1st RE</t>
  </si>
  <si>
    <t>4.0##</t>
  </si>
  <si>
    <t>11.4#</t>
  </si>
  <si>
    <r>
      <rPr>
        <sz val="12"/>
        <color theme="0"/>
        <rFont val="Book Antiqua"/>
        <family val="1"/>
      </rPr>
      <t>*</t>
    </r>
    <r>
      <rPr>
        <sz val="12"/>
        <rFont val="Book Antiqua"/>
        <family val="1"/>
      </rPr>
      <t>-8.4#</t>
    </r>
  </si>
  <si>
    <r>
      <t xml:space="preserve">Note : </t>
    </r>
    <r>
      <rPr>
        <vertAlign val="superscript"/>
        <sz val="12"/>
        <rFont val="Book Antiqua"/>
        <family val="1"/>
      </rPr>
      <t xml:space="preserve">$: </t>
    </r>
    <r>
      <rPr>
        <sz val="12"/>
        <rFont val="Book Antiqua"/>
        <family val="1"/>
      </rPr>
      <t xml:space="preserve">Population figures have been taken from table no.11 of 'Report of the Technical Group on Population Projections'; #'Population projection by RGI is taken as on 1st July for the year. IIP is for the period of #April-March; and for ##April to Sept,@2020-21-as on March 26, 2021, 2021-22 - as on March 26, 2022, Mar 2022 as on Mar 25, 2022, Mar 2023-as on Mar 31, 2023,Mar 2024 as on 29th March 2024 and Sept'24 as on 27th September 2024^Imports &amp; Exports are for Merchandise for the period of April to March and for 6 month period, Imports and Exports are for Apr-Sept'23 and Apr-Sept'24 ; E: Estimates; PE: Provisional Estimates; AE-Advanced Estimates; RE-Revised Estimates; QE-Quick Estimates.; average 'Consumer Price Index' is the arithmetic average of monthly CPI for April to March period.
(P): Provisional; MoA: Ministry of Agriculture; MoF: Ministry of Finance; MoC&amp;I: Ministry of Commerce &amp; Industry; MoSPI: Ministry of Statistics and Programme Implementation; RBI: Reserve Bank of India; E: Estimates; ; AE-Advanced Estimates; RE-Revised Estimates; QE-Quick Estimates.
</t>
    </r>
  </si>
  <si>
    <t>Whether no of labour to be added</t>
  </si>
  <si>
    <t>PSU refineries</t>
  </si>
  <si>
    <t xml:space="preserve">Table 4.12 : Exchange rates of Indian rupee  (₹)                                                                 </t>
  </si>
  <si>
    <t>Trend in spread of international benchmark crude oils</t>
  </si>
  <si>
    <t>₹ /Ltr</t>
  </si>
  <si>
    <t>₹  /MT</t>
  </si>
  <si>
    <t>₹ /litre</t>
  </si>
  <si>
    <t>₹ /14.2 kg cylinder</t>
  </si>
  <si>
    <t>High Speed Diesel</t>
  </si>
  <si>
    <t>Dealers' / Distributors' commission on petroleum products</t>
  </si>
  <si>
    <t>Table 8.10 : Dealers' commission on petrol &amp; diesel</t>
  </si>
  <si>
    <t>₹ 1868.14/KL + 0.875% of product billable price</t>
  </si>
  <si>
    <t>₹ 1389.35/KL + 0.280% of product billable price</t>
  </si>
  <si>
    <t>₹ 2006.33/KL + 0.875% of product billable price</t>
  </si>
  <si>
    <t>₹ 1491.72/KL + 0.280% of product billable price</t>
  </si>
  <si>
    <t>₹ 2020.38/KL + 0.859% of product billable price</t>
  </si>
  <si>
    <t>₹ 1502.13/KL + 0.267% of product billable price</t>
  </si>
  <si>
    <t>₹ 2025.97/KL + 0.859% of product billable price</t>
  </si>
  <si>
    <t>₹ 1506.81/KL + 0.267% of product billable price</t>
  </si>
  <si>
    <t>₹  2674.74/KL + 0.859% of product billable price</t>
  </si>
  <si>
    <t>₹ 2031.38/KL + 0.257% of product billable price</t>
  </si>
  <si>
    <t>₹ 2637.80/KL + 0.859% of product billable price</t>
  </si>
  <si>
    <t>₹ 2000.60/KL + 0.257% of product billable price</t>
  </si>
  <si>
    <t>₹  3154.00/KL + 0.859% of product billable price</t>
  </si>
  <si>
    <t>₹  2340.16/KL + 0.257% of product billable price</t>
  </si>
  <si>
    <t>Table 8.13A: Retail selling price of major petroleum products
 in India &amp; neighbouring countries</t>
  </si>
  <si>
    <t>Country/ City</t>
  </si>
  <si>
    <t>Petrol
 (₹ /ltr)</t>
  </si>
  <si>
    <t>Diesel  
(₹ /ltr)</t>
  </si>
  <si>
    <t>Kerosene  (₹ /ltr)</t>
  </si>
  <si>
    <t>Domestic LPG 
 (₹ /14.2 kg cyl.)</t>
  </si>
  <si>
    <t>8.16A -Customs duty and Excise duty (Petroleum products on which GST is not levied)</t>
  </si>
  <si>
    <t>Central excise duty</t>
  </si>
  <si>
    <t>Basic
cenvat duty</t>
  </si>
  <si>
    <t>Additional excise duty (Agriculture Infrastructure &amp; Development Cess)</t>
  </si>
  <si>
    <t>8.16B-Customs duty and GST rates (Petroleum products on which GST is levied)</t>
  </si>
  <si>
    <t>Sl.no.</t>
  </si>
  <si>
    <t>24.77% or Rs.18.80 per litre whichever is higher</t>
  </si>
  <si>
    <t xml:space="preserve">5% or Rs 9.50/Litre- whichever is higher (Rs.0.10/Litre pollution surcharge) </t>
  </si>
  <si>
    <t>RIL**</t>
  </si>
  <si>
    <t>NA = Not available</t>
  </si>
  <si>
    <t>Avg.Monthly MS Sales in KL per RO</t>
  </si>
  <si>
    <t>Avg.Monthly HSD Sales in KL per RO</t>
  </si>
  <si>
    <t>Average Retail Sales at RO</t>
  </si>
  <si>
    <t>Agriculture (Tea Plantation)</t>
  </si>
  <si>
    <t>(No. of 14.2kg cylinder)</t>
  </si>
  <si>
    <t>State/UTs</t>
  </si>
  <si>
    <t>FY 2023-24</t>
  </si>
  <si>
    <t>Non-PMUY</t>
  </si>
  <si>
    <t>Quantity (MMT)</t>
  </si>
  <si>
    <r>
      <rPr>
        <b/>
        <sz val="12"/>
        <rFont val="Book Antiqua"/>
        <family val="1"/>
      </rPr>
      <t>Source:</t>
    </r>
    <r>
      <rPr>
        <sz val="12"/>
        <rFont val="Book Antiqua"/>
        <family val="1"/>
      </rPr>
      <t xml:space="preserve"> ONGC Videsh Ltd., OIL, GAIL,  BPRL, IOCL and HPCL </t>
    </r>
  </si>
  <si>
    <r>
      <rPr>
        <b/>
        <sz val="12"/>
        <rFont val="Book Antiqua"/>
        <family val="1"/>
      </rPr>
      <t xml:space="preserve">Source: </t>
    </r>
    <r>
      <rPr>
        <sz val="12"/>
        <rFont val="Book Antiqua"/>
        <family val="1"/>
      </rPr>
      <t>Oil companies</t>
    </r>
  </si>
  <si>
    <r>
      <rPr>
        <b/>
        <sz val="12"/>
        <rFont val="Book Antiqua"/>
        <family val="1"/>
      </rPr>
      <t xml:space="preserve">Source: </t>
    </r>
    <r>
      <rPr>
        <sz val="12"/>
        <rFont val="Book Antiqua"/>
        <family val="1"/>
      </rPr>
      <t>Reserve Bank of India (RBI)/ Financial Benchmark India Private Limited (FBIL)  website.</t>
    </r>
  </si>
  <si>
    <r>
      <rPr>
        <b/>
        <sz val="12"/>
        <rFont val="Book Antiqua"/>
        <family val="1"/>
      </rPr>
      <t xml:space="preserve">Note: </t>
    </r>
    <r>
      <rPr>
        <sz val="12"/>
        <rFont val="Book Antiqua"/>
        <family val="1"/>
      </rPr>
      <t>The rates are average for the period.</t>
    </r>
  </si>
  <si>
    <t>·         Earlier price reduction of Rs. 200 on domestic LPG cylinder (14.2kg) declared by Government of India w.e.f. 30.08.2023.</t>
  </si>
  <si>
    <r>
      <rPr>
        <b/>
        <sz val="12"/>
        <rFont val="Book Antiqua"/>
        <family val="1"/>
      </rPr>
      <t>Source:</t>
    </r>
    <r>
      <rPr>
        <sz val="12"/>
        <rFont val="Book Antiqua"/>
        <family val="1"/>
      </rPr>
      <t xml:space="preserve"> PSU OMCs (IOCL, BPCL and HPCL) </t>
    </r>
  </si>
  <si>
    <r>
      <rPr>
        <b/>
        <sz val="12"/>
        <rFont val="Book Antiqua"/>
        <family val="1"/>
      </rPr>
      <t xml:space="preserve">Source: </t>
    </r>
    <r>
      <rPr>
        <sz val="12"/>
        <rFont val="Book Antiqua"/>
        <family val="1"/>
      </rPr>
      <t xml:space="preserve">Indian Petroleum &amp; Natural Gas Statistics, MOP&amp;NG </t>
    </r>
  </si>
  <si>
    <r>
      <rPr>
        <b/>
        <sz val="12"/>
        <rFont val="Book Antiqua"/>
        <family val="1"/>
      </rPr>
      <t xml:space="preserve">Conversion factor: </t>
    </r>
    <r>
      <rPr>
        <sz val="12"/>
        <rFont val="Book Antiqua"/>
        <family val="1"/>
      </rPr>
      <t>1 K Cal = 4.19 K Joules</t>
    </r>
  </si>
  <si>
    <r>
      <rPr>
        <b/>
        <sz val="12"/>
        <rFont val="Book Antiqua"/>
        <family val="1"/>
      </rPr>
      <t xml:space="preserve">Note: </t>
    </r>
    <r>
      <rPr>
        <sz val="12"/>
        <rFont val="Book Antiqua"/>
        <family val="1"/>
      </rPr>
      <t xml:space="preserve">Petrol and Diesel are as per BS-IV norms </t>
    </r>
  </si>
  <si>
    <r>
      <rPr>
        <b/>
        <sz val="14"/>
        <rFont val="Book Antiqua"/>
        <family val="1"/>
      </rPr>
      <t xml:space="preserve">Source: </t>
    </r>
    <r>
      <rPr>
        <sz val="14"/>
        <rFont val="Book Antiqua"/>
        <family val="1"/>
      </rPr>
      <t xml:space="preserve">BP </t>
    </r>
    <r>
      <rPr>
        <strike/>
        <sz val="14"/>
        <rFont val="Book Antiqua"/>
        <family val="1"/>
      </rPr>
      <t xml:space="preserve">Statistical Review of World Energy, June 2022. </t>
    </r>
  </si>
  <si>
    <r>
      <rPr>
        <b/>
        <sz val="14"/>
        <rFont val="Book Antiqua"/>
        <family val="1"/>
      </rPr>
      <t xml:space="preserve">Note: </t>
    </r>
    <r>
      <rPr>
        <sz val="14"/>
        <rFont val="Book Antiqua"/>
        <family val="1"/>
      </rPr>
      <t>For calculation of per capita consumption population figures have been taken from World Bank International Data Base for 2018.</t>
    </r>
  </si>
  <si>
    <r>
      <rPr>
        <b/>
        <sz val="14"/>
        <rFont val="Book Antiqua"/>
        <family val="1"/>
      </rPr>
      <t xml:space="preserve">Notes: 
Data is as on end of 2020.
</t>
    </r>
    <r>
      <rPr>
        <sz val="14"/>
        <rFont val="Book Antiqua"/>
        <family val="1"/>
      </rPr>
      <t xml:space="preserve">Total proved reserves of oil - Generally taken to be those quantities that geological and engineering information indicates with reasonable certainty can be recovered in the future from known reservoirs under existing economic and operating conditions. The data series for total proved oil reserves does not necessarily meet the definitions, guidelines and practices used for determining proved reserves at company level, for instance as published by the US Securities and Exchange Commission, nor does it necessarily represent the EI’s view of proved reserves by country. </t>
    </r>
  </si>
  <si>
    <r>
      <t xml:space="preserve">Reserves-to-production (R/P) ratio - </t>
    </r>
    <r>
      <rPr>
        <sz val="14"/>
        <color theme="1"/>
        <rFont val="Book Antiqua"/>
        <family val="1"/>
      </rPr>
      <t>If the reserves remaining at the end of any year are divided by the production in that year, the result is the length of time that those remaining reserves would last if production were to continue at that rate. 
Canadian oil sands 'under active development' are an official estimate. Venezuelan Orinoco Belt reserves are based on the OPEC Secretariat and government announcements. Reserves and R/P ratio for Canada includes Canadian oil sands. Reserves and R/P ratio for Venezuela includes the Orinoco Belt.  Saudi Arabia's oil reserves include NGLs from 2017. Reserves include gas condensate and natural gas liquids (NGLs) as well as crude oil. Shares of total and R/P ratios are calculated using thousand million barrels figures.</t>
    </r>
  </si>
  <si>
    <r>
      <t>Net Production</t>
    </r>
    <r>
      <rPr>
        <b/>
        <vertAlign val="superscript"/>
        <sz val="14"/>
        <rFont val="Book Antiqua"/>
        <family val="1"/>
      </rPr>
      <t>1</t>
    </r>
  </si>
  <si>
    <r>
      <t>Note:</t>
    </r>
    <r>
      <rPr>
        <sz val="14"/>
        <rFont val="Book Antiqua"/>
        <family val="1"/>
      </rPr>
      <t xml:space="preserve"> LNG import data in Million Metric Tonne (MMT), converted to MMSCM; 1MMT=1325 MMSCM</t>
    </r>
  </si>
  <si>
    <r>
      <t>2</t>
    </r>
    <r>
      <rPr>
        <vertAlign val="superscript"/>
        <sz val="24"/>
        <rFont val="Book Antiqua"/>
        <family val="1"/>
      </rPr>
      <t xml:space="preserve">nd </t>
    </r>
    <r>
      <rPr>
        <sz val="24"/>
        <rFont val="Book Antiqua"/>
        <family val="1"/>
      </rPr>
      <t>RE</t>
    </r>
  </si>
  <si>
    <t xml:space="preserve">Table 7.6 : State-wise PCC (Per Connection Consumption) of LPG </t>
  </si>
  <si>
    <t>Domestic Gas calculated price in US$/MMBTU #</t>
  </si>
  <si>
    <t>Domestic Gas ceiling price for ONGC/OIL in US$/MMBTU #</t>
  </si>
  <si>
    <t># As per the " Review of New Domestic Gas Pricing Guidelines, 2014 " issued by Ministry of Petroleum &amp; Natural Gas dated April 07,2023</t>
  </si>
  <si>
    <t xml:space="preserve"> 2024-25 (P)</t>
  </si>
  <si>
    <t>2024-25</t>
  </si>
  <si>
    <t>% Capacity utilisation 2024-25</t>
  </si>
  <si>
    <t>1.4.2025</t>
  </si>
  <si>
    <t>01.04.2025</t>
  </si>
  <si>
    <t>As on 
01.04.2025</t>
  </si>
  <si>
    <t>FY 2024-25</t>
  </si>
  <si>
    <t>1 Dec 2024 - 31 Dec 2024</t>
  </si>
  <si>
    <t>1 Jan 2025 - 31 Jan 2025</t>
  </si>
  <si>
    <t>1 Mar 2025- 31 Mar 2025</t>
  </si>
  <si>
    <t>October-2024 to March 2025</t>
  </si>
  <si>
    <t xml:space="preserve">2023-24 </t>
  </si>
  <si>
    <t>₹  3144.03/KL + 0.870% of Product Billable Price</t>
  </si>
  <si>
    <t>₹  2332.51/KL + 0.266% of Product Billable Price</t>
  </si>
  <si>
    <t>Sri Vijaya Puram</t>
  </si>
  <si>
    <t>Chhatisgarh</t>
  </si>
  <si>
    <t>Panaji</t>
  </si>
  <si>
    <t>Jalandhar</t>
  </si>
  <si>
    <t>Rs.1/MT + Rs. 50/MT as NCCD</t>
  </si>
  <si>
    <t>Rs.1/MT+ Cess @ 20% +Rs.50/ MT as NCCD</t>
  </si>
  <si>
    <t>Rs.2.50/ltr.</t>
  </si>
  <si>
    <t>Rs.4.00/ltr.</t>
  </si>
  <si>
    <t>Rs.4.20/ltr</t>
  </si>
  <si>
    <t>24% MST+ Rs.2/Litre employment cess, Reduction of Rs.3.50/Litre</t>
  </si>
  <si>
    <t>21.17% sales tax</t>
  </si>
  <si>
    <r>
      <t>Source:</t>
    </r>
    <r>
      <rPr>
        <sz val="11"/>
        <rFont val="Aptos Narrow"/>
        <family val="2"/>
        <scheme val="minor"/>
      </rPr>
      <t xml:space="preserve"> IOCL</t>
    </r>
  </si>
  <si>
    <t>·         On 4th Oct’23 Government of India raised the LPG subsidy for 'Ujjwala' scheme beneficiaries by Rs. 100 taking it to total Rs. 300 per cylinder (upto 12 cylinders per year).</t>
  </si>
  <si>
    <t>1.4.2024</t>
  </si>
  <si>
    <t>Nomination Blocks</t>
  </si>
  <si>
    <t>Nominatioin (ONGC)</t>
  </si>
  <si>
    <t>Nominationc(OIL)</t>
  </si>
  <si>
    <t xml:space="preserve">            Nomination Blocks total</t>
  </si>
  <si>
    <t xml:space="preserve">            PSC + RSC Blocks total</t>
  </si>
  <si>
    <t>of which: FO/LSHS</t>
  </si>
  <si>
    <t>Others#</t>
  </si>
  <si>
    <t>**Other imports include Paraffin Wax, Petroleum Jelly, Aviation Gas, MTBE, Reformate etc.</t>
  </si>
  <si>
    <r>
      <t>Others</t>
    </r>
    <r>
      <rPr>
        <b/>
        <sz val="14"/>
        <color theme="1"/>
        <rFont val="Book Antiqua"/>
        <family val="1"/>
      </rPr>
      <t xml:space="preserve">** </t>
    </r>
  </si>
  <si>
    <r>
      <t>Others</t>
    </r>
    <r>
      <rPr>
        <b/>
        <sz val="14"/>
        <color theme="1"/>
        <rFont val="Book Antiqua"/>
        <family val="1"/>
      </rPr>
      <t>***</t>
    </r>
  </si>
  <si>
    <t>40*</t>
  </si>
  <si>
    <t>Lakhimpur, Dhemaji , Darrang, Udalgiri, Sonitpur and Biswanath Chariali districts</t>
  </si>
  <si>
    <t>Baloda Bazar, Gariyaband and Raipur districts</t>
  </si>
  <si>
    <t>HCG Raipur Private Limited</t>
  </si>
  <si>
    <t>Kondagaon, Bastar, Sukma, Narayanpur, Bijapur and Dantewada districts</t>
  </si>
  <si>
    <t>Torrent Gas Limited</t>
  </si>
  <si>
    <t>Gajapati, Kandhamal, Boudh and Sonepur districts</t>
  </si>
  <si>
    <t>Dhalai, North Tripura, Unakoti and Khowai</t>
  </si>
  <si>
    <t>South Tripura and Sepahijala district</t>
  </si>
  <si>
    <t>Bharat Petroleum Corporation Limited, GAIL (India) Limited, Indian Oil Corporation Limited, Indian-Oil Adani Gas Private Limited, Think Gas Begusarai Private Limited</t>
  </si>
  <si>
    <t>Indian Oil Corporation Limited, Hindustan Petroleum Corporation Limited</t>
  </si>
  <si>
    <t>Bharat Petroleum Corporation Limited,Gasonet Services (HP) Limited, Think Gas Himachal Private Limited</t>
  </si>
  <si>
    <t>Tripura Natural Gas Company Limited, North East Gas Distribution Company Limited</t>
  </si>
  <si>
    <t>Chhara</t>
  </si>
  <si>
    <t>HPCL LNG Limited</t>
  </si>
  <si>
    <t>Under Construction / Part Operational
(under operation 1094 Km)</t>
  </si>
  <si>
    <t>Share of various products in overall POL consumption (Quantity)</t>
  </si>
  <si>
    <t>Numbers of Retail Outlets(as on )</t>
  </si>
  <si>
    <t>1 Nov 2024 - 30 Nov 2024</t>
  </si>
  <si>
    <t>1 Feb 2025 - 28 Feb 2025</t>
  </si>
  <si>
    <t>1 April 2025 - 30 April 2025</t>
  </si>
  <si>
    <t>April 2025 - September 2025</t>
  </si>
  <si>
    <t>Dadra &amp; Nagar Haveli</t>
  </si>
  <si>
    <t>Rs Crores</t>
  </si>
  <si>
    <t>1,47,77,724</t>
  </si>
  <si>
    <t>** w.e.f. 1st April, 2023 GAIL's Integrated Pipeline has been implemented. Capacity of INGPL as declared by PNGRB is 163.8 for FY 23-24 is considered for % capcity utilization calculation</t>
  </si>
  <si>
    <t>Numbers of SKO/LDO Agencies (as on )</t>
  </si>
  <si>
    <t>Salaya-Mathura pipeline (SMPL)</t>
  </si>
  <si>
    <t>Salaya Mathura Pipeline ( Offshore segment) (2)</t>
  </si>
  <si>
    <t>Paradip-Haldia-Barauni pipeline (PHBPL)  (1)</t>
  </si>
  <si>
    <t>Paradip Haldia Barauni Pipeline ( Offshore segment)</t>
  </si>
  <si>
    <t xml:space="preserve">Koyali-Ahmednagar-Solapur Pipeline </t>
  </si>
  <si>
    <t>Barwala Hissar Pipeline (BHPL)</t>
  </si>
  <si>
    <t>Note: This table will be updated after release of Energy Institue's Statistical Review of World Energy 2025</t>
  </si>
  <si>
    <t>Further to the above exploration policies, MoPNG introduced DSF (Discovered Small Fields) policy in 2016 to monetize the unmonetized/relinquished discoveries of Nomination and PSC regimes. MoPNG has introduced OLAP (Open Acreage Licensing Policy) under HELP policy in 2016.Recently MoPNG has introduced OALP Round X.</t>
  </si>
  <si>
    <t>*-8.4</t>
  </si>
  <si>
    <t>1 May 2025 - 31 May 2025</t>
  </si>
  <si>
    <t>Conversion factor taken 1 MT = 7.33 bbl</t>
  </si>
  <si>
    <t xml:space="preserve">2024-25 </t>
  </si>
  <si>
    <t xml:space="preserve">Source : Oil Companies; </t>
  </si>
  <si>
    <t>Source : Oil Companies; 
*Domestic sales figures are including private imports &amp; SEZ sales data</t>
  </si>
  <si>
    <t xml:space="preserve">Source : Oil companies     </t>
  </si>
  <si>
    <r>
      <rPr>
        <b/>
        <sz val="18"/>
        <rFont val="Book Antiqua"/>
        <family val="1"/>
      </rPr>
      <t>Source:</t>
    </r>
    <r>
      <rPr>
        <sz val="18"/>
        <rFont val="Book Antiqua"/>
        <family val="1"/>
      </rPr>
      <t xml:space="preserve"> Oil companies   
</t>
    </r>
  </si>
  <si>
    <r>
      <rPr>
        <b/>
        <sz val="18"/>
        <rFont val="Book Antiqua"/>
        <family val="1"/>
      </rPr>
      <t>Source:</t>
    </r>
    <r>
      <rPr>
        <sz val="18"/>
        <rFont val="Book Antiqua"/>
        <family val="1"/>
      </rPr>
      <t xml:space="preserve"> Oil companies, 
# Others include products like sulphur, propylene, propane, reformate, butane, MTO (Mineral Turpentine Oil) etc.</t>
    </r>
  </si>
  <si>
    <t>Figures are for Calendar year</t>
  </si>
  <si>
    <r>
      <rPr>
        <b/>
        <sz val="14"/>
        <color theme="1"/>
        <rFont val="Book Antiqua"/>
        <family val="1"/>
      </rPr>
      <t>Source:</t>
    </r>
    <r>
      <rPr>
        <sz val="14"/>
        <color theme="1"/>
        <rFont val="Book Antiqua"/>
        <family val="1"/>
      </rPr>
      <t xml:space="preserve"> Oil companies
</t>
    </r>
    <r>
      <rPr>
        <b/>
        <sz val="14"/>
        <color theme="1"/>
        <rFont val="Book Antiqua"/>
        <family val="1"/>
      </rPr>
      <t xml:space="preserve">Note:
</t>
    </r>
    <r>
      <rPr>
        <sz val="14"/>
        <color theme="1"/>
        <rFont val="Book Antiqua"/>
        <family val="1"/>
      </rPr>
      <t xml:space="preserve">1. Production of petroleum products from indigenous crude considered at 93.3% of indigenous crude oil processing. 
2. The balance demand of petroleum products is met through import of crude oil and POL products.                 </t>
    </r>
  </si>
  <si>
    <r>
      <rPr>
        <b/>
        <sz val="14"/>
        <rFont val="Book Antiqua"/>
        <family val="1"/>
      </rPr>
      <t xml:space="preserve">Source: </t>
    </r>
    <r>
      <rPr>
        <sz val="14"/>
        <rFont val="Book Antiqua"/>
        <family val="1"/>
      </rPr>
      <t>Oil companies and DGH, (P): Provisional
PSC/RSC blocks includes production by PSU, Private and  JV companies under this regime.</t>
    </r>
  </si>
  <si>
    <t xml:space="preserve"> # Excludes Estonia, Latvia and Lithuania prior to 1985 and Croatia and Slovenia prior to 1990.
</t>
  </si>
  <si>
    <r>
      <t xml:space="preserve">Notes: </t>
    </r>
    <r>
      <rPr>
        <sz val="10"/>
        <rFont val="Book Antiqua"/>
        <family val="1"/>
      </rPr>
      <t>Differences between these world consumption figures and world production statistics are accounted for by stock changes, consumption of non-petroleum additives</t>
    </r>
    <r>
      <rPr>
        <b/>
        <sz val="10"/>
        <rFont val="Book Antiqua"/>
        <family val="1"/>
      </rPr>
      <t xml:space="preserve"> </t>
    </r>
    <r>
      <rPr>
        <sz val="10"/>
        <rFont val="Book Antiqua"/>
        <family val="1"/>
      </rPr>
      <t>and substitute fuels and unavoidable disparities in the definition, measurement or conversion of oil supply and demand data.</t>
    </r>
    <r>
      <rPr>
        <b/>
        <sz val="10"/>
        <rFont val="Book Antiqua"/>
        <family val="1"/>
      </rPr>
      <t xml:space="preserve">
</t>
    </r>
  </si>
  <si>
    <t xml:space="preserve"> 2023-24</t>
  </si>
  <si>
    <t>Source : Oil Companies</t>
  </si>
  <si>
    <t>Commercial 
(PNG)</t>
  </si>
  <si>
    <t>Note:  includes direct imports by private parties
*Fractionators and gas processing plants</t>
  </si>
  <si>
    <t>(P)- Provisional</t>
  </si>
  <si>
    <r>
      <rPr>
        <b/>
        <sz val="14"/>
        <rFont val="Book Antiqua"/>
        <family val="1"/>
      </rPr>
      <t>Source:</t>
    </r>
    <r>
      <rPr>
        <sz val="14"/>
        <rFont val="Book Antiqua"/>
        <family val="1"/>
      </rPr>
      <t xml:space="preserve"> Domestic Gas Producers / DGH / LNG Importing companies/DGCIS </t>
    </r>
  </si>
  <si>
    <t>Cumulative</t>
  </si>
  <si>
    <t>INR/MMBtu</t>
  </si>
  <si>
    <t>$/MMBtu</t>
  </si>
  <si>
    <t>Western</t>
  </si>
  <si>
    <t>Dabhol</t>
  </si>
  <si>
    <t>Mhaskal</t>
  </si>
  <si>
    <t>Southern</t>
  </si>
  <si>
    <t>Eastern</t>
  </si>
  <si>
    <t>Bokaro</t>
  </si>
  <si>
    <t>- Source: IGX website - www.igxindia.com</t>
  </si>
  <si>
    <t>3.10A: Indian Natural Gas Spot Price for Physical Delivery</t>
  </si>
  <si>
    <t>Source PNGRB</t>
  </si>
  <si>
    <t>Eastern Africa</t>
  </si>
  <si>
    <t>Sugarcane Juice</t>
  </si>
  <si>
    <t>B Heavy Molasses</t>
  </si>
  <si>
    <t>C Heavy Molasses</t>
  </si>
  <si>
    <t>Damaged Food grains</t>
  </si>
  <si>
    <t>Surplus Food Grains</t>
  </si>
  <si>
    <t>Maize</t>
  </si>
  <si>
    <t>Feedstock</t>
  </si>
  <si>
    <t>6.10 (A) Feedstock wise Ethanol Receipt</t>
  </si>
  <si>
    <t>2024-25 (H1)</t>
  </si>
  <si>
    <t>2025-26 (H1)</t>
  </si>
  <si>
    <t>FY 2025-26 (H1)</t>
  </si>
  <si>
    <t>FY 2024-25 (H1)</t>
  </si>
  <si>
    <t xml:space="preserve">Table 8.22 : Financial details of major oil companies </t>
  </si>
  <si>
    <t>IMPORTS &amp; SEZ STATE</t>
  </si>
  <si>
    <r>
      <t>TOTAL (All POL Products)</t>
    </r>
    <r>
      <rPr>
        <b/>
        <vertAlign val="superscript"/>
        <sz val="12"/>
        <color theme="1"/>
        <rFont val="Book Antiqua"/>
        <family val="1"/>
      </rPr>
      <t>*</t>
    </r>
  </si>
  <si>
    <t xml:space="preserve"> sales</t>
  </si>
  <si>
    <r>
      <rPr>
        <b/>
        <sz val="14"/>
        <color theme="1"/>
        <rFont val="Book Antiqua"/>
        <family val="1"/>
      </rPr>
      <t>Source</t>
    </r>
    <r>
      <rPr>
        <sz val="14"/>
        <color theme="1"/>
        <rFont val="Book Antiqua"/>
        <family val="1"/>
      </rPr>
      <t xml:space="preserve">: PSU OMCs (IOCL, BPCL and HPCL) </t>
    </r>
  </si>
  <si>
    <r>
      <rPr>
        <b/>
        <sz val="12"/>
        <color theme="1"/>
        <rFont val="Book Antiqua"/>
        <family val="1"/>
      </rPr>
      <t>Source</t>
    </r>
    <r>
      <rPr>
        <sz val="12"/>
        <color theme="1"/>
        <rFont val="Book Antiqua"/>
        <family val="1"/>
      </rPr>
      <t xml:space="preserve">: PSU OMCs (IOCL, BPCL and HPCL) </t>
    </r>
  </si>
  <si>
    <t xml:space="preserve">                           Year</t>
  </si>
  <si>
    <t xml:space="preserve">Vijayawada </t>
  </si>
  <si>
    <t>Madhya Pradesh and Chhattisgarh</t>
  </si>
  <si>
    <t>Madhya Pradesh and Chhattisgarh Total</t>
  </si>
  <si>
    <t>Meghalaya State</t>
  </si>
  <si>
    <t>Meghalaya Total</t>
  </si>
  <si>
    <t>Kolkata Municipal Corporation and Parts of Adjoining Districts</t>
  </si>
  <si>
    <t>^Source: PNGRB</t>
  </si>
  <si>
    <t>Note :  EAAA stands for Excluding/Except Area Already Authorized ; * stands for the data not provided by the CGD Entity ; # stands for authorization was cancelled by PNGRB, however, authorization has been reinstated based on court order ; ## stands for NOC issued : ** stands for Sub-judice ; ***authorisation yet to be accepted by the entity,###-Under Dispute</t>
  </si>
  <si>
    <t xml:space="preserve">2025-26 H1 </t>
  </si>
  <si>
    <r>
      <rPr>
        <b/>
        <sz val="12"/>
        <color theme="1"/>
        <rFont val="Book Antiqua"/>
        <family val="1"/>
      </rPr>
      <t>Source:</t>
    </r>
    <r>
      <rPr>
        <sz val="12"/>
        <color theme="1"/>
        <rFont val="Book Antiqua"/>
        <family val="1"/>
      </rPr>
      <t xml:space="preserve"> Oil companies
</t>
    </r>
  </si>
  <si>
    <t>Barmer Palanpur Pipeline (7)</t>
  </si>
  <si>
    <t>Average flow FY 2024-25 (mmscmd)</t>
  </si>
  <si>
    <t>% Capacity utilisation FY 2024-25</t>
  </si>
  <si>
    <t>7**</t>
  </si>
  <si>
    <t>Mehsana - Bhatinda</t>
  </si>
  <si>
    <t>36”/24”/18”/12”/8"</t>
  </si>
  <si>
    <t>Partially Commissioned</t>
  </si>
  <si>
    <t>Bhatinda - Gurdaspur</t>
  </si>
  <si>
    <t>Mallavaram - Bhopal - Bhilwara - Vijaipur</t>
  </si>
  <si>
    <t>Under Construction^</t>
  </si>
  <si>
    <t xml:space="preserve">Notes: </t>
  </si>
  <si>
    <t>Industrial 
(PNG)</t>
  </si>
  <si>
    <t>Delhi (NCT)</t>
  </si>
  <si>
    <t>Gujarat &amp; Daman and Diu</t>
  </si>
  <si>
    <t>Tamil Nadu &amp; Puducherry</t>
  </si>
  <si>
    <t>1 June 2025 - 30 June 2025</t>
  </si>
  <si>
    <t>1 July 2025 - 31 July 2025</t>
  </si>
  <si>
    <t>1 August 2025 -31 August 2025</t>
  </si>
  <si>
    <t>1 September 2025 - 30  September 2025</t>
  </si>
  <si>
    <t>1 October 2025 -31 October 2025</t>
  </si>
  <si>
    <t>October 2025- March 2026</t>
  </si>
  <si>
    <t>Adani Total Gas Limited,Assam Gas Company Limited,Purba Bharati Gas Private Limited, North East City Gas Distribution Limited</t>
  </si>
  <si>
    <r>
      <rPr>
        <b/>
        <sz val="11"/>
        <color theme="1"/>
        <rFont val="Book Antiqua"/>
        <family val="1"/>
      </rPr>
      <t>Source:</t>
    </r>
    <r>
      <rPr>
        <sz val="11"/>
        <color theme="1"/>
        <rFont val="Book Antiqua"/>
        <family val="1"/>
      </rPr>
      <t xml:space="preserve"> DGH </t>
    </r>
  </si>
  <si>
    <t>Table 3.12 B: CGD Sales Data  (in SCMD ) - Six Months</t>
  </si>
  <si>
    <t>Total consumption</t>
  </si>
  <si>
    <t>Industrial
 (PNG)</t>
  </si>
  <si>
    <r>
      <rPr>
        <b/>
        <sz val="14"/>
        <color theme="1"/>
        <rFont val="Book Antiqua"/>
        <family val="1"/>
      </rPr>
      <t>Note:</t>
    </r>
    <r>
      <rPr>
        <sz val="14"/>
        <color theme="1"/>
        <rFont val="Book Antiqua"/>
        <family val="1"/>
      </rPr>
      <t xml:space="preserve"> *Others include sulphur, propylene, propane, reformat, butane, MTO (Mineral Turpentine oil) etc</t>
    </r>
  </si>
  <si>
    <r>
      <rPr>
        <b/>
        <sz val="12"/>
        <color theme="1"/>
        <rFont val="Book Antiqua"/>
        <family val="1"/>
      </rPr>
      <t xml:space="preserve">Source: </t>
    </r>
    <r>
      <rPr>
        <sz val="12"/>
        <color theme="1"/>
        <rFont val="Book Antiqua"/>
        <family val="1"/>
      </rPr>
      <t xml:space="preserve">Oil Companies, Directorate General of Commercial Intelligence and Statistics (DGCIS) &amp; online SEZ data (included from 2017-18 onwards). (Oil company sales+Private imports+SEZ sales to DTA= Consumption); </t>
    </r>
  </si>
  <si>
    <r>
      <t>Alloc</t>
    </r>
    <r>
      <rPr>
        <b/>
        <vertAlign val="superscript"/>
        <sz val="11"/>
        <color theme="1"/>
        <rFont val="Book Antiqua"/>
        <family val="1"/>
      </rPr>
      <t>n</t>
    </r>
  </si>
  <si>
    <t>Category wise retail outlets as on 01.10.2025 : Total nos. 99281</t>
  </si>
  <si>
    <r>
      <t>NEL</t>
    </r>
    <r>
      <rPr>
        <b/>
        <vertAlign val="superscript"/>
        <sz val="11"/>
        <color theme="1"/>
        <rFont val="Book Antiqua"/>
        <family val="1"/>
      </rPr>
      <t>##</t>
    </r>
    <r>
      <rPr>
        <b/>
        <sz val="11"/>
        <color theme="1"/>
        <rFont val="Book Antiqua"/>
        <family val="1"/>
      </rPr>
      <t xml:space="preserve"> </t>
    </r>
  </si>
  <si>
    <r>
      <t xml:space="preserve">POL terminal/depots </t>
    </r>
    <r>
      <rPr>
        <b/>
        <sz val="12"/>
        <color theme="1"/>
        <rFont val="Book Antiqua"/>
        <family val="1"/>
      </rPr>
      <t>(Nos.)</t>
    </r>
    <r>
      <rPr>
        <b/>
        <vertAlign val="superscript"/>
        <sz val="12"/>
        <color theme="1"/>
        <rFont val="Book Antiqua"/>
        <family val="1"/>
      </rPr>
      <t>$</t>
    </r>
  </si>
  <si>
    <r>
      <t xml:space="preserve">Aviation fuel stations </t>
    </r>
    <r>
      <rPr>
        <b/>
        <sz val="12"/>
        <color theme="1"/>
        <rFont val="Book Antiqua"/>
        <family val="1"/>
      </rPr>
      <t>(Nos.)</t>
    </r>
    <r>
      <rPr>
        <b/>
        <vertAlign val="superscript"/>
        <sz val="12"/>
        <color theme="1"/>
        <rFont val="Book Antiqua"/>
        <family val="1"/>
      </rPr>
      <t>@</t>
    </r>
  </si>
  <si>
    <r>
      <t xml:space="preserve">Retail Outlets (total) </t>
    </r>
    <r>
      <rPr>
        <b/>
        <sz val="12"/>
        <color theme="1"/>
        <rFont val="Book Antiqua"/>
        <family val="1"/>
      </rPr>
      <t>(Nos.)^</t>
    </r>
  </si>
  <si>
    <r>
      <t xml:space="preserve">Out of which, Rural ROs </t>
    </r>
    <r>
      <rPr>
        <b/>
        <sz val="12"/>
        <color theme="1"/>
        <rFont val="Book Antiqua"/>
        <family val="1"/>
      </rPr>
      <t>(Nos.)</t>
    </r>
  </si>
  <si>
    <r>
      <t xml:space="preserve">SKO/LDO agencies </t>
    </r>
    <r>
      <rPr>
        <b/>
        <sz val="12"/>
        <color theme="1"/>
        <rFont val="Book Antiqua"/>
        <family val="1"/>
      </rPr>
      <t>(Nos.)</t>
    </r>
  </si>
  <si>
    <t>2025-26</t>
  </si>
  <si>
    <r>
      <rPr>
        <b/>
        <sz val="12"/>
        <color theme="1"/>
        <rFont val="Book Antiqua"/>
        <family val="1"/>
      </rPr>
      <t>Note:</t>
    </r>
    <r>
      <rPr>
        <sz val="12"/>
        <color theme="1"/>
        <rFont val="Book Antiqua"/>
        <family val="1"/>
      </rPr>
      <t xml:space="preserve"> With effect from 01.04.2019, EBP Programme has been extended to whole of India except UTs of Andaman &amp; Nicobar Islands and Lakshadweep.</t>
    </r>
  </si>
  <si>
    <r>
      <rPr>
        <b/>
        <sz val="10"/>
        <color theme="1"/>
        <rFont val="Book Antiqua"/>
        <family val="1"/>
      </rPr>
      <t xml:space="preserve">Source: </t>
    </r>
    <r>
      <rPr>
        <sz val="10"/>
        <color theme="1"/>
        <rFont val="Book Antiqua"/>
        <family val="1"/>
      </rPr>
      <t>Oil companies</t>
    </r>
  </si>
  <si>
    <r>
      <rPr>
        <b/>
        <sz val="10"/>
        <color theme="1"/>
        <rFont val="Book Antiqua"/>
        <family val="1"/>
      </rPr>
      <t xml:space="preserve">Source: </t>
    </r>
    <r>
      <rPr>
        <sz val="10"/>
        <color theme="1"/>
        <rFont val="Book Antiqua"/>
        <family val="1"/>
      </rPr>
      <t>Oil companies; P-Provisional</t>
    </r>
  </si>
  <si>
    <r>
      <rPr>
        <b/>
        <sz val="10"/>
        <color theme="1"/>
        <rFont val="Book Antiqua"/>
        <family val="1"/>
      </rPr>
      <t xml:space="preserve">Source: </t>
    </r>
    <r>
      <rPr>
        <sz val="10"/>
        <color theme="1"/>
        <rFont val="Book Antiqua"/>
        <family val="1"/>
      </rPr>
      <t>Oil companies, Directorate General of Commercial Intelligence and Statistics (DGCIS) &amp; SEZ data (included from FY 2017-18 onwards).</t>
    </r>
  </si>
  <si>
    <r>
      <t>Alloc</t>
    </r>
    <r>
      <rPr>
        <vertAlign val="superscript"/>
        <sz val="10"/>
        <color theme="1"/>
        <rFont val="Book Antiqua"/>
        <family val="1"/>
      </rPr>
      <t>n</t>
    </r>
    <r>
      <rPr>
        <sz val="10"/>
        <color theme="1"/>
        <rFont val="Book Antiqua"/>
        <family val="1"/>
      </rPr>
      <t>= Allocation</t>
    </r>
  </si>
  <si>
    <r>
      <rPr>
        <b/>
        <sz val="10"/>
        <color theme="1"/>
        <rFont val="Book Antiqua"/>
        <family val="1"/>
      </rPr>
      <t xml:space="preserve">Source: </t>
    </r>
    <r>
      <rPr>
        <sz val="10"/>
        <color theme="1"/>
        <rFont val="Book Antiqua"/>
        <family val="1"/>
      </rPr>
      <t>MoP&amp;NG</t>
    </r>
  </si>
  <si>
    <t xml:space="preserve">As per April 2025 the Nameplate Refining Capacity of India is 258.1 MMTPA. India stands as the second-largest refiner in Asia and the fourth largest globally. The country is equipped with 22 operational Refineries, with private companies holding approximately 34.3% of the total refining capacity. </t>
  </si>
  <si>
    <r>
      <rPr>
        <b/>
        <sz val="10"/>
        <color theme="1"/>
        <rFont val="Book Antiqua"/>
        <family val="1"/>
      </rPr>
      <t xml:space="preserve">Source: </t>
    </r>
    <r>
      <rPr>
        <sz val="10"/>
        <color theme="1"/>
        <rFont val="Book Antiqua"/>
        <family val="1"/>
      </rPr>
      <t xml:space="preserve">Oil companies (Includes dealers of private oil companies); P-Provisional
</t>
    </r>
  </si>
  <si>
    <r>
      <rPr>
        <b/>
        <sz val="10"/>
        <color theme="1"/>
        <rFont val="Book Antiqua"/>
        <family val="1"/>
      </rPr>
      <t>Note:</t>
    </r>
    <r>
      <rPr>
        <sz val="10"/>
        <color theme="1"/>
        <rFont val="Book Antiqua"/>
        <family val="1"/>
      </rPr>
      <t xml:space="preserve"> In the above bar charts; others include all other products except MS, HSD, ATF &amp; Petcoke.</t>
    </r>
  </si>
  <si>
    <t>Hazira - ONGC</t>
  </si>
  <si>
    <t>KG - Pasarlapudi</t>
  </si>
  <si>
    <t>Total 7.0 MMSCMD Vol. delivered during the month</t>
  </si>
  <si>
    <t xml:space="preserve"> - Prices are weighted average prices (excluding: Gas traded at Ceiling Price, ssLNG &amp; LDC) | $1=INR 88.32 | 1 MMBtu=25.2 SCM</t>
  </si>
  <si>
    <t xml:space="preserve">
2016=100 </t>
  </si>
  <si>
    <t>2019=100</t>
  </si>
  <si>
    <t>9M 2023-24</t>
  </si>
  <si>
    <r>
      <rPr>
        <b/>
        <sz val="11"/>
        <rFont val="Aptos Narrow"/>
        <family val="2"/>
        <scheme val="minor"/>
      </rPr>
      <t xml:space="preserve">Source: </t>
    </r>
    <r>
      <rPr>
        <sz val="11"/>
        <rFont val="Aptos Narrow"/>
        <family val="2"/>
        <scheme val="minor"/>
      </rPr>
      <t>Published results/ information provided by oil companies</t>
    </r>
  </si>
  <si>
    <t xml:space="preserve">12% VAT + Rs.3500/KL cess </t>
  </si>
  <si>
    <t xml:space="preserve"> 2024-25</t>
  </si>
  <si>
    <r>
      <t>Report of the
Technical Group on
Population 
Projections</t>
    </r>
    <r>
      <rPr>
        <vertAlign val="superscript"/>
        <sz val="24"/>
        <rFont val="Book Antiqua"/>
        <family val="1"/>
      </rPr>
      <t>$</t>
    </r>
  </si>
  <si>
    <t>iv) Percentage (%) of self sufficiency (ii/iii)</t>
  </si>
  <si>
    <t>Table 2.5A: State wise Crude Oil Production (Including Condensate)</t>
  </si>
  <si>
    <t>•      313 depots and terminals spread throughout the country ensure uninterrupted supply of fuels to consumers.</t>
  </si>
  <si>
    <t>LNG import</t>
  </si>
  <si>
    <t>April-2025 to September 2025</t>
  </si>
  <si>
    <t>Table 3.12 C:  Basket Trends- CGD Sale Profile  (in MMSCM) - Annual</t>
  </si>
  <si>
    <t>Period (FY)</t>
  </si>
  <si>
    <t>STATE</t>
  </si>
  <si>
    <t>Rural RO's</t>
  </si>
  <si>
    <t>Regular RO's at Highways</t>
  </si>
  <si>
    <t>Regular RO's other than at Highways</t>
  </si>
  <si>
    <t>Chattisgarh</t>
  </si>
  <si>
    <t>ANDAMAN &amp; NICOBAR</t>
  </si>
  <si>
    <t>Dadra Nagar Haveli</t>
  </si>
  <si>
    <t>Daman &amp; Diu</t>
  </si>
  <si>
    <t>Lakshdweep</t>
  </si>
  <si>
    <t xml:space="preserve">T O T A L </t>
  </si>
  <si>
    <r>
      <t xml:space="preserve"># GRM of North-East refineries are including excise duty benefit 
* Not available
** BPCL figures for the period 2022-23 onwards includes BORL also after its merger with BPCL
</t>
    </r>
    <r>
      <rPr>
        <sz val="12"/>
        <color rgb="FFC00000"/>
        <rFont val="Book Antiqua"/>
        <family val="1"/>
      </rPr>
      <t>***MRPL has stopped publishing GRM w.e.f. Q2 FY 2025-26</t>
    </r>
  </si>
  <si>
    <t>Trade Balance</t>
  </si>
  <si>
    <t># GRM of North-East refineries are including excise duty benefit 
* Not available
** BPCL figures for the period 2022-23 onwards includes BORL also after its merger with BPCL
***MRPL has stopped publishing GRM w.e.f. Q2 FY 2025-26</t>
  </si>
  <si>
    <r>
      <rPr>
        <b/>
        <sz val="12"/>
        <color theme="1"/>
        <rFont val="Book Antiqua"/>
        <family val="1"/>
      </rPr>
      <t>Source :</t>
    </r>
    <r>
      <rPr>
        <sz val="12"/>
        <color theme="1"/>
        <rFont val="Book Antiqua"/>
        <family val="1"/>
      </rPr>
      <t xml:space="preserve"> CHT</t>
    </r>
  </si>
  <si>
    <t>LAUNCH YEAR</t>
  </si>
  <si>
    <t>OFFERED</t>
  </si>
  <si>
    <t>AWARDED</t>
  </si>
  <si>
    <t>RELINQUISHED/ PROPOSED FOR RELINQUISHMENT/TERMINATION NOTICE SENT/OPERATIONAL ISSUES/PEL AWAITED</t>
  </si>
  <si>
    <t>Chainsa-Jhajjar-Hissar</t>
  </si>
  <si>
    <t>Geleki-Jorhat oil line (New)</t>
  </si>
  <si>
    <t>Add : GST (including GST on distributors' commission)</t>
  </si>
  <si>
    <t>Paradip Hyderabad Pipeline</t>
  </si>
  <si>
    <t>Bhubaneshwar ATF Pipeline</t>
  </si>
  <si>
    <t>Chapter-5: Highlights</t>
  </si>
  <si>
    <t>Chapter-6 Highlights</t>
  </si>
  <si>
    <t>Chapter-8:  Highlights</t>
  </si>
  <si>
    <t>Table 2.7 (A) : Status of blocks under NELP (As on 01.04.2026)</t>
  </si>
  <si>
    <t>Table 2.7(B): Status of blocks under OALP round of HELP  and DSF Rounds (As on 01.04.2026)</t>
  </si>
  <si>
    <t>Table 2.9 :  Coal Bed Methane (CBM) Gas development in India as on 01.04.2026</t>
  </si>
  <si>
    <t xml:space="preserve">2025-26 </t>
  </si>
  <si>
    <t xml:space="preserve">2025-26  </t>
  </si>
  <si>
    <t>Sectoral Consumption of Natural gas (in %)  FY 2025-26</t>
  </si>
  <si>
    <t>01.04.2026</t>
  </si>
  <si>
    <t>Authrozied capacity/
Declared capacity (MMSCMD) as on 01.04.2026</t>
  </si>
  <si>
    <t>Average flow FY 2025-26 (mmscmd)</t>
  </si>
  <si>
    <t>% Capacity utilisation FY 2025-26</t>
  </si>
  <si>
    <t>Average flow Oct 2025 - Mar 2026 (mmscmd)</t>
  </si>
  <si>
    <t>% Capacity utilisation Oct 2025 - Mar 2026</t>
  </si>
  <si>
    <t>Share of Pipeline Operators in Natural Gas Pipelines as on 01.04.2026</t>
  </si>
  <si>
    <t>CAGR calculated FY15-16 vs 25-26</t>
  </si>
  <si>
    <t>Sector-wise HSD consumption for FY 2025-26 &amp; FY 2024-25 YoY comparison</t>
  </si>
  <si>
    <t>Table 6.3 (A) : State-wise Sales of  Petroleum Products consumption: FY 2025-26</t>
  </si>
  <si>
    <t>Table 6.4 (D) : Average MS/HSD Sales Per RO 2025-26 vs 2024-25</t>
  </si>
  <si>
    <t>FY 2024-25
(TMT)</t>
  </si>
  <si>
    <t>01.4.2025</t>
  </si>
  <si>
    <t>FY 2025-26
(TMT)</t>
  </si>
  <si>
    <t>01.4.2026</t>
  </si>
  <si>
    <t>2025-26
(TMT)</t>
  </si>
  <si>
    <t>2024-25
(KL)</t>
  </si>
  <si>
    <t>2025-26
(KL)</t>
  </si>
  <si>
    <t>1.4.2026</t>
  </si>
  <si>
    <t>Table 6.6 (A): State-wise Number of RO's as on 1.4.2026</t>
  </si>
  <si>
    <t>Table 6.7: Industry Marketing Infrastructure as on 01.4.2026</t>
  </si>
  <si>
    <t>Table 6.9: Oil industry Alternate fuel infrastructure at retail outlets as on 01.4.2026</t>
  </si>
  <si>
    <t>FY 2025-26</t>
  </si>
  <si>
    <t>Table 2.10: Status of Shale Gas and oil development in India ( As on 01.4.2026)</t>
  </si>
  <si>
    <t xml:space="preserve">Table 6.3 (B): State-wise total Petroleum Products consumption: FY 2025-26 </t>
  </si>
  <si>
    <t>Table 6.4 (A ): State-wise Annual total Petroleum Products sales</t>
  </si>
  <si>
    <t>Opening stock of mineral and energy resources (Closing for last FY)</t>
  </si>
  <si>
    <t>Discoveries</t>
  </si>
  <si>
    <t>Upward appraisals</t>
  </si>
  <si>
    <t>TOTAL ADDITION TO THE STOCK</t>
  </si>
  <si>
    <t>Reduction in Stock:</t>
  </si>
  <si>
    <t>Extraction</t>
  </si>
  <si>
    <t>Sterilization Loss</t>
  </si>
  <si>
    <t>Downwards reappraisals</t>
  </si>
  <si>
    <t>TOTAL REDUCTION IN STOCK</t>
  </si>
  <si>
    <t>Closing Stock of mineral and energy resources</t>
  </si>
  <si>
    <t>Source: M/o Petroleum and Natural Gas.</t>
  </si>
  <si>
    <t>2P is the sum of proved and probable reserves.</t>
  </si>
  <si>
    <t>CONVERSION 1MT =7.33 BARREL</t>
  </si>
  <si>
    <t>Crude Oil (Million BBL)</t>
  </si>
  <si>
    <t>Natural Gas (MMSCM)</t>
  </si>
  <si>
    <t>Types of Energy Resource (2P Reserve)</t>
  </si>
  <si>
    <t>GDP at constant (2011-12 Prices)</t>
  </si>
  <si>
    <t>GDP at constant (2022-23 Prices)</t>
  </si>
  <si>
    <t>6.5 PE</t>
  </si>
  <si>
    <t>7.4 FAE</t>
  </si>
  <si>
    <t>7.6 SAE</t>
  </si>
  <si>
    <t>Index of Industrial Production (Base: 2011-12)</t>
  </si>
  <si>
    <t>Table 1.2 : Global primary energy consumption, 2025</t>
  </si>
  <si>
    <t>Table 2.11:Physical asset account for Energy (Crude oil and Natural Gas)</t>
  </si>
  <si>
    <t>Sectoral Break up of CGD Sales Profile FY 2025-26  vs FY 2024-25</t>
  </si>
  <si>
    <t xml:space="preserve">Domestic </t>
  </si>
  <si>
    <t xml:space="preserve">Commercial </t>
  </si>
  <si>
    <t xml:space="preserve">Industrial </t>
  </si>
  <si>
    <t>6.4 (B): State-wise Annual total sales of MS</t>
  </si>
  <si>
    <t>6.4(C): State-wise Annual total sales of HSD</t>
  </si>
  <si>
    <t xml:space="preserve"> Private Direct imports </t>
  </si>
  <si>
    <t>Pondicherry</t>
  </si>
  <si>
    <t>ESY 2024-25</t>
  </si>
  <si>
    <t>ESY 2025-26 (Nov-Mar)</t>
  </si>
  <si>
    <t>ESY 2024-25 (Nov-Oct)</t>
  </si>
  <si>
    <t>ESY 2022-23</t>
  </si>
  <si>
    <t>ESY 2023-24</t>
  </si>
  <si>
    <t>ESY 2025-26 
(Nov-Mar)</t>
  </si>
  <si>
    <t>Table 2.3: World top 30 crude oil consuming countries</t>
  </si>
  <si>
    <t>Table 2.2: World top 30 crude oil* producing countries</t>
  </si>
  <si>
    <t>Sector-wise PDS SKO consumption for FY 2025-26  and FY 2024-25</t>
  </si>
  <si>
    <t>Sector-wise LPG consumption for FY 2025-26 &amp;  FY 2024-25</t>
  </si>
  <si>
    <t>Sector-wiseNaphtha consumption for FY 2025-26 &amp;  FY 2024-25</t>
  </si>
  <si>
    <t>Sector-wise ATF consumption for FY 2025-26 &amp;  FY 2024-25</t>
  </si>
  <si>
    <t>Sector-wise Petcoke consumption for FY 2025-26 &amp;  FY 2024-25</t>
  </si>
  <si>
    <t>Sector-wise LDO consumption for FY 2025-26 &amp;  FY 2024-25</t>
  </si>
  <si>
    <t>RIL/RBML/
RSIL*</t>
  </si>
  <si>
    <t>• On  all India basis the percentage growth in the number of retail outlets from 01.04.2022 to 01.04.2026 has been 24%. The region wise growth is highest for the North Eastern region (40%), followed by Northern region(25%), Western region (24%),  Southern region (23%) and Eastern region (22%).</t>
  </si>
  <si>
    <t>AGRICULTURE</t>
  </si>
  <si>
    <t>CITY OR LOCAL NATURAL GAS DISTRIBUTION NETWORK</t>
  </si>
  <si>
    <t>FERTILIZER</t>
  </si>
  <si>
    <t>INTERNAL CONSUMPTION FOR PIPELINE SYSTEM</t>
  </si>
  <si>
    <t>INDUSTRIAL</t>
  </si>
  <si>
    <t>LPG SHRINKAGE</t>
  </si>
  <si>
    <t>MANUFACTURING</t>
  </si>
  <si>
    <t>PETROCHEM</t>
  </si>
  <si>
    <t>POWER</t>
  </si>
  <si>
    <t>REFINERY</t>
  </si>
  <si>
    <t>SPONGE IRON</t>
  </si>
  <si>
    <t>RLNG/ Others</t>
  </si>
  <si>
    <t xml:space="preserve"> Total </t>
  </si>
  <si>
    <t>DADRA &amp; NAGAR HAVELI AND DAMAN &amp; DIU</t>
  </si>
  <si>
    <t>EASTERN OFFSHORE</t>
  </si>
  <si>
    <t>GUJARAT OFFSHORE</t>
  </si>
  <si>
    <t>WESTERN OFFSHORE</t>
  </si>
  <si>
    <t>NOT ASSIGNED</t>
  </si>
  <si>
    <t>Reserves/ Production ratio</t>
  </si>
  <si>
    <t>n/a</t>
  </si>
  <si>
    <t>At end 2000</t>
  </si>
  <si>
    <t>At end 2010</t>
  </si>
  <si>
    <t>At end 2019</t>
  </si>
  <si>
    <t>At end of 2020</t>
  </si>
  <si>
    <t xml:space="preserve"> # Excludes Estonia, Latvia and Lithuania prior to 1985 and Croatia and Slovenia prior to 1990.</t>
  </si>
  <si>
    <t>Table 3.12D: State Wise Natural Gas Sectoral Sale\Consumption in FY 2025-26  (P)* (in MMSCM)</t>
  </si>
  <si>
    <t>No. of CNG stations</t>
  </si>
  <si>
    <t>CNG sales</t>
  </si>
  <si>
    <t>No. of Domestic PNG connections</t>
  </si>
  <si>
    <t>D-PNG sales</t>
  </si>
  <si>
    <t>Table 3.7a: State/UT wise Number of CNG stations and sale</t>
  </si>
  <si>
    <t>Table 3.7b:  State/UT wise Number of Domestic PNG connections and sale</t>
  </si>
  <si>
    <r>
      <rPr>
        <b/>
        <sz val="12"/>
        <rFont val="Book Antiqua"/>
        <family val="1"/>
      </rPr>
      <t xml:space="preserve">Mtoe: </t>
    </r>
    <r>
      <rPr>
        <sz val="12"/>
        <rFont val="Book Antiqua"/>
        <family val="1"/>
      </rPr>
      <t xml:space="preserve">Million tonnes of oil equavalent, </t>
    </r>
    <r>
      <rPr>
        <b/>
        <sz val="12"/>
        <rFont val="Book Antiqua"/>
        <family val="1"/>
      </rPr>
      <t>Toe:</t>
    </r>
    <r>
      <rPr>
        <sz val="12"/>
        <rFont val="Book Antiqua"/>
        <family val="1"/>
      </rPr>
      <t xml:space="preserve"> Tonnes of oil equivalent </t>
    </r>
  </si>
  <si>
    <t>·         The PMUY scheme has covered around 10.58 crores beneficiaries since its launch in May 2016. As on 01.04.2026, since inception of the scheme on 01.05.2016, the highest percentage of PMUY connections have been released in Eastern region (32.2%), followed by Northern region (29.6%), Western region (21.5%), Southern region (10.6%) and North-east region (6.0%).</t>
  </si>
  <si>
    <t>·         PSU OMCs sold nearly 33.0 MMT of LPG in FY 2025-26 &amp; recorded a growth of 5.7% in total LPG sales as compared to FY 2024-25.</t>
  </si>
  <si>
    <t>·         Highest LPG consumption in Northern region (31.0%) followed by Southern (26.9%), Western (22.3%), Eastern (17.0%) &amp; North-eastern (2.8%) in FY 2025-26.</t>
  </si>
  <si>
    <t>·         Packed domestic segment (86.6%) dominated LPG consumption with a share of around on all India basis, followed by Packed non-domestic segment (9.0%), Bulk sales (3.5%), Auto LPG sales (0.2%) and LPG private direct imports (0.8%) in FY 2025-26.</t>
  </si>
  <si>
    <t>·         PSU OMCs have a total of 214 LPG bottling plants all over India with rated bottling capacity of around 23.04 million metric tonne per annum (MMTPA).</t>
  </si>
  <si>
    <t xml:space="preserve">·         PSU OMCs enrolled 67.0 lakhs new domestic customers during FY 2025-26. During the same period, PSU OMCs have added 41 distributorships. </t>
  </si>
  <si>
    <t>·         As on 01.04.2026, PSU OMCs have a total of 364 Auto LPG Dispensing Stations (ALDS) all over India for catering to LPG demand in the automotive sector. The total auto LPG sales of PSU OMCs was about 69.1 TMT during FY 2025-26,  out of which around 82.2% sales were in the Southern region.</t>
  </si>
  <si>
    <t xml:space="preserve">·         As on 01.04.2026, PSU OMCs (IOCL, BPCL and HPCL) together have 33.39 crores active LPG customers in the domestic category who are being served by 25,607 LPG distributors. </t>
  </si>
  <si>
    <t>·        PMUY Per capita consumption (PCC) was 4.71 (nos. of 14.2kg cyl) in FY 2025-26 as compared to 4.47 in FY 2024-25
·        Non-PMUY PCC was 6.74 (nos. of 14.2kg cyl) in FY 2025-26 as compared to 6.64 in FY 2024-25.
·        Total domestic PCC was 6.10 (nos. of 14.2kg cyl) in FY 2025-26 as compared to 5.96 in FY 2024-25.</t>
  </si>
  <si>
    <t>North East</t>
  </si>
  <si>
    <r>
      <rPr>
        <b/>
        <sz val="11"/>
        <rFont val="Book Antiqua"/>
        <family val="1"/>
      </rPr>
      <t>Source</t>
    </r>
    <r>
      <rPr>
        <sz val="11"/>
        <rFont val="Book Antiqua"/>
        <family val="1"/>
      </rPr>
      <t xml:space="preserve">: PSU OMCs (IOCL, BPCL and HPCL) </t>
    </r>
  </si>
  <si>
    <t xml:space="preserve">Table 7.5 : State-wise Number of LPG Distributors </t>
  </si>
  <si>
    <t>Category -wise as on 01.04.2026</t>
  </si>
  <si>
    <t>·         Further price reduction of Rs. 100 on domestic LPG cylinder (14.2kg) declared by Government of India w.e.f. 09.03.2024.
·         Price increase of Rs. 60 on domestic LPG cylinder (14.2kg) declared by Government of India w.e.f. 07.03.2026.</t>
  </si>
  <si>
    <t>Total available coal bearing areas (India)</t>
  </si>
  <si>
    <t>April 2025 - March 2026 (P)</t>
  </si>
  <si>
    <t>Source: DGH, Status as on 01.04.2026</t>
  </si>
  <si>
    <t>2025-26 (P)</t>
  </si>
  <si>
    <t>01-03-2019
(New start date 01.04.2024)</t>
  </si>
  <si>
    <t>24-04-2019
(New start date 01.04.2022)</t>
  </si>
  <si>
    <t>23-03-2022
(New Start date 01.07.2023)</t>
  </si>
  <si>
    <t>27-09-2018
(New start date 01.01.2022)</t>
  </si>
  <si>
    <t>26-09-2018 
(New start date 01.04.2020)</t>
  </si>
  <si>
    <t>23-03-2022
 (New Start date 01.10.2022)</t>
  </si>
  <si>
    <t>23-03-2022
 (New Start date 01.01.2023)</t>
  </si>
  <si>
    <t>29-03-2019
(New start date 01.01.2022)</t>
  </si>
  <si>
    <t>18-02-2022
(New Start date 01.10.2024)</t>
  </si>
  <si>
    <t>15-03-2022
(New Start date 01.07.2024)</t>
  </si>
  <si>
    <t>15-03-2022
(New Start date 01.04.2024)</t>
  </si>
  <si>
    <t>NOC issued on 
20-08-2008</t>
  </si>
  <si>
    <t>22-06-2016
(New start date 01.04.2022)</t>
  </si>
  <si>
    <t>Under Dispute</t>
  </si>
  <si>
    <t>Sub-Judice</t>
  </si>
  <si>
    <t>Authorisation yet to be accepted by the entity</t>
  </si>
  <si>
    <t>28-09-2018
(New start date 01.01.2022)</t>
  </si>
  <si>
    <t>07-03-2019
(New start date 01.01.2022)</t>
  </si>
  <si>
    <t>29-03-2019
(New start date 01.07.2021)</t>
  </si>
  <si>
    <t>06-09-2018 
(New start date 01.01.2022)</t>
  </si>
  <si>
    <t>07-03-2018 
(New start date 01.04.2020)</t>
  </si>
  <si>
    <t>06-09-2018
(New start date 01.04.2021)</t>
  </si>
  <si>
    <t>15-03-2022
(New Start date 01.10.2023)</t>
  </si>
  <si>
    <t>28-08-2018
(New start date 01.04.2022)</t>
  </si>
  <si>
    <t>13-09-2018
(New start date 01.01.2021)</t>
  </si>
  <si>
    <t>14-09-2018
(New start date 01.01.2021)</t>
  </si>
  <si>
    <t>27-09-2018
(New start date 01.01.2021)</t>
  </si>
  <si>
    <t>26-09-2018
(New start date 01.01.2021)</t>
  </si>
  <si>
    <t>09-03-2022
(New Start date 01.01.2025)</t>
  </si>
  <si>
    <t>23-03-2022
(New Start date 01.10.2024)</t>
  </si>
  <si>
    <t>09-03-2022
(New Start date 01.07.2024)</t>
  </si>
  <si>
    <t>15-03-2022
(New Start date 01.10.2024)</t>
  </si>
  <si>
    <t>19-04-2024 
(New Start date 01.07.2025)</t>
  </si>
  <si>
    <t>10-08-2018
(New start date 01.01.2022)</t>
  </si>
  <si>
    <t>14-09-2018
(New start date 01.01.2022)</t>
  </si>
  <si>
    <t>07-03-2018 
(New start date 01.07.2020)</t>
  </si>
  <si>
    <t>28-02-2022 
(New Start date 01.01.2024)</t>
  </si>
  <si>
    <t>06-09-2018
(New start date 01.01.2022)</t>
  </si>
  <si>
    <t>26-09-2018
(New start date 01.01.2022)</t>
  </si>
  <si>
    <t>09-03-2022
(New Start date 01.01.2024)</t>
  </si>
  <si>
    <t>15-03-2022
(New Start date 01.07.2025)</t>
  </si>
  <si>
    <t>28-09-2018
(New start date 01.04.2022)</t>
  </si>
  <si>
    <t>29-03-2022
(New Start date 01.10.2025)</t>
  </si>
  <si>
    <t>27-08-2018
(New start date 01.04.2022)</t>
  </si>
  <si>
    <t>23-03-2022
(New Start date 01.04.2023)</t>
  </si>
  <si>
    <t>15-03-2022
(New Start date 01.04.2023)</t>
  </si>
  <si>
    <t>07-09-2018
(New start date 01.04.2020)</t>
  </si>
  <si>
    <t>12-09-2018
(New start date 01.04.2022)</t>
  </si>
  <si>
    <t>13-09-2018
(New start date 01.04.2022)</t>
  </si>
  <si>
    <t>23-03-2022
(New Start date 01.01.2023)</t>
  </si>
  <si>
    <t>15-03-2022
(New Start date 01.01.2023)</t>
  </si>
  <si>
    <t>26-09-2018
(New start date 01.04.2022)</t>
  </si>
  <si>
    <t>12-09-2018
(New start date 01.10.2024)</t>
  </si>
  <si>
    <t>13-09-2018
(New start date 01.10.2023)</t>
  </si>
  <si>
    <t>09-03-2022
(New Start date 01.04.2023)</t>
  </si>
  <si>
    <t>12-Sep-2018 
(New start date    
01-Jan-2020)</t>
  </si>
  <si>
    <t>15-03-2022 
(New Start date 01.10.2024)</t>
  </si>
  <si>
    <t>13-09-2018
(New start date 
01-10-2019)</t>
  </si>
  <si>
    <t>12-09-2018
(New start date 01.01.2022)</t>
  </si>
  <si>
    <t>15-03-2022
(New Start date 01.10.2022)</t>
  </si>
  <si>
    <t>29-03-2019 
(New start date 01.01.2021)</t>
  </si>
  <si>
    <t>29-03-2019
(New start date 01.01.2023)</t>
  </si>
  <si>
    <t>02-02-2016 
(New start date 01.01.2022)</t>
  </si>
  <si>
    <t>29-03-2019 
(New start date 01.01.2022)</t>
  </si>
  <si>
    <t>Apr-2021 to Sep-2021</t>
  </si>
  <si>
    <t>Oct-2021 to Mar-2022</t>
  </si>
  <si>
    <t>Apr-2022 to Sep-2022</t>
  </si>
  <si>
    <t>Oct-2022 to Mar-2023</t>
  </si>
  <si>
    <t>Apr-2023 to Sep-2023</t>
  </si>
  <si>
    <t>Oct-2023 to Mar-2024</t>
  </si>
  <si>
    <t>Apr-2024 to Sep-2024</t>
  </si>
  <si>
    <t>Oct--2024 to Mar-2025</t>
  </si>
  <si>
    <t>Apr-2025 to Sep-2025</t>
  </si>
  <si>
    <t>CGD sale profiles fy 2024-25</t>
  </si>
  <si>
    <t>63..9</t>
  </si>
  <si>
    <t>Krishnapatnam-Hyderabad Pipeline</t>
  </si>
  <si>
    <t>Bathinda Sangrur Pipeline</t>
  </si>
  <si>
    <t>Pipeline utilisation is calculated using formula = (Throughput in MMT * 100) / (Annual capacity in MMTPA)</t>
  </si>
  <si>
    <t>1) Throughput of Mundra-Delhi Pipeline is including throughputs of branchlines viz. Awa Salawas Pipeline, Palanpur Vadodara Pipeline and Barwala Hissar pipeline.</t>
  </si>
  <si>
    <t>2) Throughput of Ramanmandi Bahadurgarh Pipeline is including throughput of branchlines viz. Bahadurgarh-TikriKalan Pipeline  &amp; Rewari-Kanpur Pipeline.</t>
  </si>
  <si>
    <t xml:space="preserve">3) Lube Oil Pipeline and ATF Pipeline from Mumbai Refinery to Mazgaon Terminal and Mumbai Airport are Speciality Product Pipelines. </t>
  </si>
  <si>
    <t>4) Throughput of UCSPL includes both HPCL &amp; BPCL volumes.</t>
  </si>
  <si>
    <t>5) Throughput  of Vizag-Vijaywada-Secunderabad pipeline includes throughput of branchline Vijaywada Dharmapuri (VDPL) Pipeline</t>
  </si>
  <si>
    <t>6) Throughput of Mangalore-Hassan-Mysore-Bangalore pipeline includes throughput of branchline Hassan-Cherlapalli LPG Pipeline</t>
  </si>
  <si>
    <t>7) Barmer Palanpur Pipeline was commissioned on 26.09.2025.</t>
  </si>
  <si>
    <t>1) Petronet MHB JV- ONGC &amp; HPCL 26% each, Petronet- 12%, Public- 36%.</t>
  </si>
  <si>
    <t>•        During the last decade from FY 2015-16 to FY 2025-26, a CAGR of 6.9% was achieved in MS consumption, CAGR of 5.4% in LPG, CAGR of 3.9% in ATF and CAGR of 2.4% in HSD. Rising Private vehicle ownership, increased economic activities and  strong push for cleaner fuels for cooking is driving up the demand for MS, HSD, ATF and LPG.</t>
  </si>
  <si>
    <r>
      <t>§</t>
    </r>
    <r>
      <rPr>
        <sz val="12"/>
        <color theme="1"/>
        <rFont val="Aptos"/>
        <family val="2"/>
      </rPr>
      <t>Alternate fuels are available at 33,888 Nos. of RO's as on 01.04.2026 and EV charging infrastructure is available at 29,047 RO’s thereby partnering well in shift towards electrification of vehicles.</t>
    </r>
  </si>
  <si>
    <r>
      <t>§</t>
    </r>
    <r>
      <rPr>
        <sz val="12"/>
        <color theme="1"/>
        <rFont val="Aptos"/>
        <family val="2"/>
      </rPr>
      <t>Direct Sales of HSD recorded at 13% of total HSD sales for FY 2025-26.</t>
    </r>
  </si>
  <si>
    <t>•      International aviation contributed to 39% of the total ATF volumes of 9.16 MMT during FY 2025-26.</t>
  </si>
  <si>
    <r>
      <t xml:space="preserve">LPG distributors (total) </t>
    </r>
    <r>
      <rPr>
        <b/>
        <sz val="12"/>
        <rFont val="Book Antiqua"/>
        <family val="1"/>
      </rPr>
      <t>(Nos.) (PSUs only)</t>
    </r>
  </si>
  <si>
    <r>
      <t xml:space="preserve">LPG bottling plants </t>
    </r>
    <r>
      <rPr>
        <b/>
        <sz val="12"/>
        <rFont val="Book Antiqua"/>
        <family val="1"/>
      </rPr>
      <t>(Nos.) (PSUs only)</t>
    </r>
    <r>
      <rPr>
        <b/>
        <vertAlign val="superscript"/>
        <sz val="12"/>
        <rFont val="Book Antiqua"/>
        <family val="1"/>
      </rPr>
      <t>#</t>
    </r>
  </si>
  <si>
    <r>
      <t xml:space="preserve">LPG bottling capacity </t>
    </r>
    <r>
      <rPr>
        <b/>
        <sz val="12"/>
        <rFont val="Book Antiqua"/>
        <family val="1"/>
      </rPr>
      <t>(TMTPA) (PSUs only)</t>
    </r>
    <r>
      <rPr>
        <b/>
        <vertAlign val="superscript"/>
        <sz val="12"/>
        <rFont val="Book Antiqua"/>
        <family val="1"/>
      </rPr>
      <t>&amp;</t>
    </r>
  </si>
  <si>
    <r>
      <t xml:space="preserve">LPG active domestic consumers </t>
    </r>
    <r>
      <rPr>
        <b/>
        <sz val="12"/>
        <rFont val="Book Antiqua"/>
        <family val="1"/>
      </rPr>
      <t>(Nos. crore) (PSUs only)</t>
    </r>
  </si>
  <si>
    <t xml:space="preserve">$(Others=5 MRPL &amp; 2 NRL); @(Others=ShellMRPL ); ^(Others=MRPL/AGCL/IMCL/HMEL/CPCL/IPPL); #(Others=NRL-1, CPCL-1); &amp;(Others=NRL-60,  CPCL-120); 
*RBML- Reliance BP Mobility Limited; RSIL-RBML Solutions India Ltd.
Source: Oil companies; </t>
  </si>
  <si>
    <t>During FY 2025-26, the exports of Petroleum, Oil, and Lubricants (POL) products saw a decrease of 5.6% compared to the previous year. The decrease in POL product exports in FY 2025-26 was primarily attributed due to a decrease in the export of aviation-turbine fuel (ATF) and high-speed diesel (HSD) etc. In value terms, exports during FY 2025-26 dropped from 44.4 billion US dollars to 41.1 billion US dollars, marking a 7.4% decrease compared to FY 2024-25. High-speed diesel (HSD), motor spirit (MS), and aviation turbine fuel (ATF) emerged as the top three products in the export basket of petroleum products during FY 2025-26, with shares of 44.5%, 27.1%, and 11.1%, respectively.</t>
  </si>
  <si>
    <t>*Import does not include LNG imports.</t>
  </si>
  <si>
    <t>Decrease of 5.6% was recorded in POL products export during April-March FY 2025-26 as compared to during April-March FY 2024-25 mainly due to decrease in exports of aviation turbine fuel (ATF) and high-speed diesel (HSD) etc.</t>
  </si>
  <si>
    <r>
      <t>§</t>
    </r>
    <r>
      <rPr>
        <sz val="12"/>
        <rFont val="Book Antiqua"/>
        <family val="1"/>
      </rPr>
      <t>Pipelines play a crucial role in maintaining the supply chain for crude oil, petroleum products, and gas in the country. Onshore cross-country pipelines are buried underground at a depth of approximately 1.5 meters within a corridor spanning about 18 meters, operating at elevated pressures. As of March 31, 2026, the total length of the crude oil pipeline network in India is 10,443 kilometers, boasting a capacity of 153.1 million metric tons per annum (MMTPA). During FY 2025-26, the utilization of crude oil pipelines stands at 66.7%.</t>
    </r>
  </si>
  <si>
    <r>
      <t>§</t>
    </r>
    <r>
      <rPr>
        <sz val="12"/>
        <rFont val="Book Antiqua"/>
        <family val="1"/>
      </rPr>
      <t>Product pipelines, inclusive of LPG, form a comprehensive network spanning 24861 kilometers with a capacity of 155.8 MMTPA. During FY 2025-26, the utilization of product pipelines reached 68.4%.</t>
    </r>
  </si>
  <si>
    <r>
      <rPr>
        <b/>
        <sz val="11"/>
        <rFont val="Times New Roman"/>
        <family val="1"/>
      </rPr>
      <t>Source</t>
    </r>
    <r>
      <rPr>
        <sz val="11"/>
        <rFont val="Times New Roman"/>
        <family val="1"/>
      </rPr>
      <t xml:space="preserve">: Oil Companies </t>
    </r>
  </si>
  <si>
    <t xml:space="preserve">During FY 2025-26, Indigenous Crude Oil production, including condensate, reached 27.9 million metric tons. </t>
  </si>
  <si>
    <t xml:space="preserve">Around 43% of Crude Oil(including condensate ) is produced in Western Offshore, followed by Gujarat Onshore 19%,Assam Onshore 16 % ,Rajasthan Onshore 11%and Eastern Offshore 10%. </t>
  </si>
  <si>
    <t>SAE</t>
  </si>
  <si>
    <t>7.1 FRE</t>
  </si>
  <si>
    <r>
      <t>11.4</t>
    </r>
    <r>
      <rPr>
        <vertAlign val="superscript"/>
        <sz val="24"/>
        <rFont val="Book Antiqua"/>
        <family val="1"/>
      </rPr>
      <t>π</t>
    </r>
    <r>
      <rPr>
        <sz val="24"/>
        <rFont val="Book Antiqua"/>
        <family val="1"/>
      </rPr>
      <t xml:space="preserve">
  QE</t>
    </r>
  </si>
  <si>
    <t>4.4
(RE)</t>
  </si>
  <si>
    <t>175,55,988
(RE)</t>
  </si>
  <si>
    <t>Surplus (+ ) /
 Deficit (-)</t>
  </si>
  <si>
    <t>RELINQUISHED/ PROPOSED FOR RELINQUISHMENT</t>
  </si>
  <si>
    <t>PEL/PML Awaited</t>
  </si>
  <si>
    <t>OALP Round-II</t>
  </si>
  <si>
    <t>OALP Round-IV</t>
  </si>
  <si>
    <t>OALP Round-VI</t>
  </si>
  <si>
    <t>OALP Round-VIII</t>
  </si>
  <si>
    <t>OALP Round-IX</t>
  </si>
  <si>
    <t>DSF  Round-III</t>
  </si>
  <si>
    <t>SDSF-2024</t>
  </si>
  <si>
    <t>0</t>
  </si>
  <si>
    <t>Shale gas and oil exploration policy was announced in October, 2013. ONGC and OIL India Ltd have been allotted 50 and 6 blocks respectively for assessment under Phase-I. ONGC identified 50 blocks in 4 basins and OIL identified 6 blocks in 2 basins in Phase-I.  GEECL has carried out initial assessment of shale gas potential and planning to drill core holes in their CBM blocks in Raniganj south.
EOGEPL has also assessed shale gas potential in their CBM blocks in Raniganhj east area and drilled two shale gas core holes for detailed studies.</t>
  </si>
  <si>
    <t>(Numbers)</t>
  </si>
  <si>
    <t xml:space="preserve">3.8 State/UT wise Number of CNG stations and PNG Connections </t>
  </si>
  <si>
    <t>No. of companies (as on 1.4.2026)</t>
  </si>
  <si>
    <t>Chandigarh, Haryana, Punjab and Himachal Pradesh</t>
  </si>
  <si>
    <t>Adani Total Gas Limited, Bharat Petroleum Corporation Limited, HCG Raipur Private Limited, GAIL Gas Limited</t>
  </si>
  <si>
    <t>Dadra and Nagar Haveli</t>
  </si>
  <si>
    <t>Delhi NCT</t>
  </si>
  <si>
    <t xml:space="preserve">Madhya Pradesh &amp; Chhattisgarh </t>
  </si>
  <si>
    <t xml:space="preserve">Maharashtra &amp; Madhya Pradesh </t>
  </si>
  <si>
    <t>4.64 </t>
  </si>
  <si>
    <t> 50%</t>
  </si>
  <si>
    <t>4.49 </t>
  </si>
  <si>
    <t>49% </t>
  </si>
  <si>
    <t>Gujarat Regional Network (GRN) (including 540 Km of Varoda Sub network)</t>
  </si>
  <si>
    <t xml:space="preserve">Under Construction / part operational </t>
  </si>
  <si>
    <t>Mumbai Nagpur Jharsuguda #</t>
  </si>
  <si>
    <t>24"/18"/12"</t>
  </si>
  <si>
    <t>Srikakulam Angul</t>
  </si>
  <si>
    <t>Hazira-Ankleshwar (HAPi)%</t>
  </si>
  <si>
    <t> 143.3</t>
  </si>
  <si>
    <t>9.5 </t>
  </si>
  <si>
    <t xml:space="preserve">Operational </t>
  </si>
  <si>
    <t>Kakinada- Bharuch Natural Gas Pipeline 
(erstwhile East - West Pipeline)</t>
  </si>
  <si>
    <t> 5.42</t>
  </si>
  <si>
    <t>59% </t>
  </si>
  <si>
    <t>*** Total flow will not match with sum of individual pipeline network flow as some quantity have travelled more than one pipeline network.</t>
  </si>
  <si>
    <t>^^Total Operational Natural Gas Pipeline length as on 31 Mar 2026 is 18,413. Flow for Srikakulam Angul is insignificant till Mar 2026 since it is put into operation in Sept 2025</t>
  </si>
  <si>
    <t>% Re-determined capacity of 4.2 MMSCMD submitted to PNGRB has been considered for Capacity Utilization</t>
  </si>
  <si>
    <t xml:space="preserve">^Please note that the gas is flowing through 365 km x 18" pipeline Kunchanapally in Andhra Pradesh to RFCL, Ramagundam in Telanagana State which was commissioned on 14.10.2019
</t>
  </si>
  <si>
    <t xml:space="preserve">Conversion factor of  37000 Btu/SCM is used for computing volumes in MMSCMD. </t>
  </si>
  <si>
    <t>The capacity above is as per the authorization letter issued by PNGRB for Kakinada - Bharuch Natural Gas Pipeline (erstwhile East-West Pipeline). Last capacity assessed and submitted to PNGRB is 74.83 MMSCMD.</t>
  </si>
  <si>
    <t xml:space="preserve">The commissioning of HPCL Rajasthan Refinery Ltd. (HRRL), a joint venture between Hindustan Petroleum Corporation Limited (HPCL) and the Government of Rajasthan (GoR), is underway. The equity participation in the venture is 74% by HPCL and 26% by the Government of Rajasthan, and it has a capacity of 9.0 million metric tons per annum (MMTPA). Numaligarh Refinery is under capacity augmentation from 3 MMTPA to 9 MMTPA. </t>
  </si>
  <si>
    <t>The total production of Petroleum products during FY 2025-26 (P) was 284.9 MMT out of which 281.5 MMT was produced from the processing of Crude Oil and Other Inputs in the Refineries. The Share of Lighter Distillates like LPG, Naphtha, MS etc was 36.2% out of the Total Production from refineries. Share of Middle Distillate like SKO, ATF, HSD etc was 50.7% and Heavy Ends like Petcoke, FO, LSHS, Bitumin etc was 13.0 % of the total production from refineries. Among the Total domestic production of petroleum products the share of HSD was 42.4 % followed by MS 17.0%, Naphtha 6.5%, ATF 5.8%,Petcoke 5.2% and LPG 4.6%.</t>
  </si>
  <si>
    <t>Installed capacity (MMTPA)-1st April</t>
  </si>
  <si>
    <t>Refinery (year of establishment to be added)</t>
  </si>
  <si>
    <t>2026 (P)</t>
  </si>
  <si>
    <r>
      <t xml:space="preserve">Note : </t>
    </r>
    <r>
      <rPr>
        <vertAlign val="superscript"/>
        <sz val="20"/>
        <rFont val="Book Antiqua"/>
        <family val="1"/>
      </rPr>
      <t xml:space="preserve">$: </t>
    </r>
    <r>
      <rPr>
        <sz val="20"/>
        <rFont val="Book Antiqua"/>
        <family val="1"/>
      </rPr>
      <t xml:space="preserve">Population figures have been taken from table no.8 of 'Report of the Technical Group on Population Projections'; #'Population projection by RGI is taken as on 1st July for the year. IIP is for the period of #April-March; @2020-21-as on March 26, 2021, 2021-22 - as on March 25, 2022, Mar 2022, 2022-23-as on Mar 31, 2023,2023-24 as on 29th March 2024 and 2024-25 as on March 28, 2025, and 2025-26 (27th March).^Imports &amp; Exports are for Merchandise from April to March. Information at Sr. 11, 12, 13 &amp; 14 is from the Union Budget 2025-26.
E: Estimates; PE: Provisional Estimates; AE-Advanced Estimates; RE-Revised Estimates; QE-Quick Estimates.; FRE-First Revised Estimates and SAE-Second Advanced Estimates.
Average 'Consumer Price Index' is the arithmetic average of monthly CPI for April to March period. ; MoA: Ministry of Agriculture; MoF: Ministry of Finance; MoC&amp;I: Ministry of Commerce &amp; Industry; MoSPI: Ministry of Statistics and Programme Implementation; RBI: Reserve Bank of India; 
</t>
    </r>
  </si>
  <si>
    <t>537484.1 
(RE)</t>
  </si>
  <si>
    <t>618295.76
(RE)</t>
  </si>
  <si>
    <t>663920.67
(BE)</t>
  </si>
  <si>
    <t>19014852.01
(BE)</t>
  </si>
  <si>
    <t>420077.70 
(RE)</t>
  </si>
  <si>
    <r>
      <t xml:space="preserve">IIP-Mining (14.372472)
</t>
    </r>
    <r>
      <rPr>
        <sz val="18"/>
        <rFont val="Calibri"/>
        <family val="2"/>
      </rPr>
      <t>(Base: 2022-23)</t>
    </r>
  </si>
  <si>
    <r>
      <t xml:space="preserve">IIM-Electricity (7.994318)
</t>
    </r>
    <r>
      <rPr>
        <sz val="18"/>
        <rFont val="Calibri"/>
        <family val="2"/>
      </rPr>
      <t>(Base: 2022-23)</t>
    </r>
  </si>
  <si>
    <r>
      <t xml:space="preserve">IIP-Manufacturing (77.63321)
</t>
    </r>
    <r>
      <rPr>
        <sz val="18"/>
        <rFont val="Calibri"/>
        <family val="2"/>
      </rPr>
      <t>(Base: 2022-23)</t>
    </r>
  </si>
  <si>
    <t>1 Nov 2025 - 30 Nov 2025</t>
  </si>
  <si>
    <t>1 Dec 2025 - 31 Dec 2025</t>
  </si>
  <si>
    <t>1 Jan 2026 - 31 Jan 2026</t>
  </si>
  <si>
    <t>1 Feb 2026 - 28 Feb 2026</t>
  </si>
  <si>
    <t>1 Mar 2026- 31 Mar 2026</t>
  </si>
  <si>
    <t>1 April 2026 - 30 April 2026</t>
  </si>
  <si>
    <t>April 2026 - September 2026</t>
  </si>
  <si>
    <t>1 May 2026 - 31 May 2026</t>
  </si>
  <si>
    <t>* As per the "New Domestic Natural Gas Pricing Guidelines, 2014" issued by Ministry of Petroleum &amp; Natural Gas dated October 25, 2014.
# Natural Gas prices are on GCV basis</t>
  </si>
  <si>
    <t>2.       LNG import:</t>
  </si>
  <si>
    <t>5.       Consumption:</t>
  </si>
  <si>
    <r>
      <t>§</t>
    </r>
    <r>
      <rPr>
        <b/>
        <sz val="12"/>
        <rFont val="Book Antiqua"/>
        <family val="1"/>
      </rPr>
      <t xml:space="preserve">Natural Gas Pipeline infrastructure- </t>
    </r>
    <r>
      <rPr>
        <sz val="12"/>
        <rFont val="Book Antiqua"/>
        <family val="1"/>
      </rPr>
      <t>is an economical and safe mode of transporting natural gas by connecting gas sources to gas consuming markets. Gas pipeline grid determines the structure of the gas market and its development. Therefore, an interconnected National Gas Grid has been envisaged to ensure the adequate availability and equitable distribution of natural gas in all parts of the country. As on 31</t>
    </r>
    <r>
      <rPr>
        <vertAlign val="superscript"/>
        <sz val="12"/>
        <rFont val="Book Antiqua"/>
        <family val="1"/>
      </rPr>
      <t>st</t>
    </r>
    <r>
      <rPr>
        <sz val="12"/>
        <rFont val="Book Antiqua"/>
        <family val="1"/>
      </rPr>
      <t xml:space="preserve"> December 2025, there is about 25,925 km long Natural Gas pipeline network which is operational in the country. In order to make available natural gas across the country, it has been envisaged to develop additional about 7301 km pipelines (excluding Tie-in connectivity, dedicated &amp; STPL) to complete the National Gas Grid and same are at various stages of development. This would ensure easy availability of natural gas across all regions and potentially help to achieve uniform economic and social progress.</t>
    </r>
  </si>
  <si>
    <t xml:space="preserve"> Total* (in MMSCM)</t>
  </si>
  <si>
    <t xml:space="preserve">*Porvisional, Totals may not tally due to rounding off. The dataset (P) is based on information provided by Oil &amp; Gas Companies reporting to PPAC i.e. ONGC, OIL, DGH, GAIL, GSPC, Torrent Power Limited, Shell Energy India Pvt. Ltd., BPCL, HPCL RIL and IOCL. Components of internal consumption related to VAP shrinkage, LPG Shrinkage, Captive Power Generation, supply to power houses, supply to crematoriums &amp; schools etc. as reported by Oil &amp; Gas Companies have also been included. 
For Certain UTs/ States not reflected in above data, kindly refer CGD Table 3.12 of PPAC Ready Reckoner, as the supply of gas in the areas may have been sourced from the above-mentioned State/s.
Subject to change (for further details visit https://ppac.gov.in/natural-gas/sectoral-consumption). .  </t>
  </si>
  <si>
    <t>Table 3.7 a - Yearwise Domestic PNG Connections &amp; CNG stations</t>
  </si>
  <si>
    <t>(Number)</t>
  </si>
  <si>
    <t>Domestic PNG Connections</t>
  </si>
  <si>
    <t>***</t>
  </si>
  <si>
    <r>
      <rPr>
        <b/>
        <sz val="11"/>
        <color theme="1"/>
        <rFont val="Aptos Narrow"/>
        <family val="2"/>
        <scheme val="minor"/>
      </rPr>
      <t xml:space="preserve">Source : </t>
    </r>
    <r>
      <rPr>
        <sz val="11"/>
        <color theme="1"/>
        <rFont val="Aptos Narrow"/>
        <family val="2"/>
        <scheme val="minor"/>
      </rPr>
      <t>Indian refineries - published results/ information provided by oil companies; Singapore - Reuters</t>
    </r>
  </si>
  <si>
    <t>2026 : Month wise</t>
  </si>
  <si>
    <t>Price charged to dealers (excluding  VAT)</t>
  </si>
  <si>
    <t>Price charged to dealers (excluding VAT)</t>
  </si>
  <si>
    <t>Note - An additional Basic Excise duty @Rs 2/ltr has been levied on unblended petrol (not blended with ethanol or methonal) intended for retail sale w.e.f. 01.11.2022.</t>
  </si>
  <si>
    <r>
      <rPr>
        <b/>
        <sz val="11"/>
        <rFont val="Aptos Narrow"/>
        <family val="2"/>
        <scheme val="minor"/>
      </rPr>
      <t>Source:</t>
    </r>
    <r>
      <rPr>
        <sz val="11"/>
        <rFont val="Aptos Narrow"/>
        <family val="2"/>
        <scheme val="minor"/>
      </rPr>
      <t xml:space="preserve"> Website of Office of the Economic Adviser, Department for Promotion of Industry and Internal Trade</t>
    </r>
  </si>
  <si>
    <r>
      <rPr>
        <b/>
        <sz val="11"/>
        <color theme="1"/>
        <rFont val="Aptos Narrow"/>
        <family val="2"/>
        <scheme val="minor"/>
      </rPr>
      <t>Note:</t>
    </r>
    <r>
      <rPr>
        <sz val="11"/>
        <color theme="1"/>
        <rFont val="Aptos Narrow"/>
        <family val="2"/>
        <scheme val="minor"/>
      </rPr>
      <t xml:space="preserve"> In addition to above, effective 1st Aug 2017, slab based incentive is also given to eligible dealers through credit notes.</t>
    </r>
  </si>
  <si>
    <r>
      <rPr>
        <b/>
        <sz val="11"/>
        <rFont val="Aptos Narrow"/>
        <family val="2"/>
        <scheme val="minor"/>
      </rPr>
      <t>Source:</t>
    </r>
    <r>
      <rPr>
        <sz val="11"/>
        <rFont val="Aptos Narrow"/>
        <family val="2"/>
        <scheme val="minor"/>
      </rPr>
      <t xml:space="preserve"> MoP&amp;NG circulars &amp; OMCs</t>
    </r>
  </si>
  <si>
    <r>
      <t>Petrol</t>
    </r>
    <r>
      <rPr>
        <b/>
        <vertAlign val="superscript"/>
        <sz val="11"/>
        <rFont val="Aptos Narrow"/>
        <family val="2"/>
        <scheme val="minor"/>
      </rPr>
      <t>1</t>
    </r>
    <r>
      <rPr>
        <b/>
        <sz val="11"/>
        <rFont val="Aptos Narrow"/>
        <family val="2"/>
        <scheme val="minor"/>
      </rPr>
      <t xml:space="preserve">
 (₹ /ltr)</t>
    </r>
  </si>
  <si>
    <r>
      <t>Diesel</t>
    </r>
    <r>
      <rPr>
        <b/>
        <vertAlign val="superscript"/>
        <sz val="11"/>
        <rFont val="Aptos Narrow"/>
        <family val="2"/>
        <scheme val="minor"/>
      </rPr>
      <t>2</t>
    </r>
    <r>
      <rPr>
        <b/>
        <sz val="11"/>
        <rFont val="Aptos Narrow"/>
        <family val="2"/>
        <scheme val="minor"/>
      </rPr>
      <t xml:space="preserve">  
(₹ /ltr)</t>
    </r>
  </si>
  <si>
    <t>1. Unleaded premium (95 RON) for France, Germany, Italy, Spain, UK; regular unleaded for Canada, Japan and the United States.</t>
  </si>
  <si>
    <t>2. Automotive Diesel For Non Commercial Use.</t>
  </si>
  <si>
    <r>
      <rPr>
        <b/>
        <i/>
        <sz val="11"/>
        <rFont val="Aptos Narrow"/>
        <family val="2"/>
        <scheme val="minor"/>
      </rPr>
      <t>Source:</t>
    </r>
    <r>
      <rPr>
        <i/>
        <sz val="11"/>
        <rFont val="Aptos Narrow"/>
        <family val="2"/>
        <scheme val="minor"/>
      </rPr>
      <t xml:space="preserve"> IOCL </t>
    </r>
  </si>
  <si>
    <r>
      <rPr>
        <b/>
        <i/>
        <sz val="11"/>
        <rFont val="Aptos Narrow"/>
        <family val="2"/>
        <scheme val="minor"/>
      </rPr>
      <t>Source:</t>
    </r>
    <r>
      <rPr>
        <i/>
        <sz val="11"/>
        <rFont val="Aptos Narrow"/>
        <family val="2"/>
        <scheme val="minor"/>
      </rPr>
      <t xml:space="preserve"> IOCL</t>
    </r>
  </si>
  <si>
    <r>
      <rPr>
        <b/>
        <sz val="11"/>
        <rFont val="Aptos Narrow"/>
        <family val="2"/>
        <scheme val="minor"/>
      </rPr>
      <t>Note:</t>
    </r>
    <r>
      <rPr>
        <sz val="11"/>
        <rFont val="Aptos Narrow"/>
        <family val="2"/>
        <scheme val="minor"/>
      </rPr>
      <t xml:space="preserve"> The allocation of PDS kerosene in Delhi is nil presently.                 </t>
    </r>
  </si>
  <si>
    <t xml:space="preserve">Crude Oil </t>
  </si>
  <si>
    <t>Rs.1.40/ltr. + Rs.3.00/ ltr SAD + Rs.2.50/ ltr AIDC</t>
  </si>
  <si>
    <t xml:space="preserve">Rs.3.00/ltr </t>
  </si>
  <si>
    <t>Petrol (Branded)</t>
  </si>
  <si>
    <t>Rs.2.60/ltr. + Rs.3.00/ ltr SAD + Rs.2.50/ ltr AIDC</t>
  </si>
  <si>
    <t>Rs.1.80/ltr. + Rs.4.00/ ltr AIDC</t>
  </si>
  <si>
    <t>High Speed Diesel (Branded)</t>
  </si>
  <si>
    <t>Rs.4.20/ltr. +  Rs.4.00/ ltr AIDC</t>
  </si>
  <si>
    <t>Aviation Turbine Fuel (ATF) (Note-2)</t>
  </si>
  <si>
    <t>Natural Gas [Gaseous state]</t>
  </si>
  <si>
    <t>Natural Gas [Compressed]</t>
  </si>
  <si>
    <t>Not Calcined</t>
  </si>
  <si>
    <t>Calcined</t>
  </si>
  <si>
    <r>
      <t xml:space="preserve">Source: </t>
    </r>
    <r>
      <rPr>
        <i/>
        <sz val="11"/>
        <rFont val="Aptos Narrow"/>
        <family val="2"/>
        <scheme val="minor"/>
      </rPr>
      <t>www.cbic.gov.in</t>
    </r>
  </si>
  <si>
    <t>1. In addition to the above, 10%  Social Welfare Surcharge is also applicable on the total duties of Customs. However, where CVD is payable in lieu of IGST, social welfare surcharge is not applicable on the amount of CVD.</t>
  </si>
  <si>
    <t>3. Basic Customs duty is Nil for import of domestic LPG sold to household consumers (including non domestic exempted category) by PSU OMCs. Basic Customs duty rate is 5% for other importers of domestic LPG.</t>
  </si>
  <si>
    <t xml:space="preserve">16% MST+ Rs.1.00/Litre employment cess, Reduction of Rs.2.50/Litre </t>
  </si>
  <si>
    <t>16.98% VAT</t>
  </si>
  <si>
    <t>11.22% VAT</t>
  </si>
  <si>
    <t xml:space="preserve">22%  VAT+ Rs.4000/KL cess </t>
  </si>
  <si>
    <r>
      <rPr>
        <b/>
        <sz val="11"/>
        <rFont val="Aptos Narrow"/>
        <family val="2"/>
        <scheme val="minor"/>
      </rPr>
      <t>Source</t>
    </r>
    <r>
      <rPr>
        <sz val="11"/>
        <rFont val="Aptos Narrow"/>
        <family val="2"/>
        <scheme val="minor"/>
      </rPr>
      <t>: Based on data provided by 15 oil &amp; gas companies &amp;  effective 2024-25 including Major CGDs</t>
    </r>
  </si>
  <si>
    <t>8 &amp; 9</t>
  </si>
  <si>
    <t># NA</t>
  </si>
  <si>
    <r>
      <rPr>
        <b/>
        <sz val="11"/>
        <rFont val="Aptos Narrow"/>
        <family val="2"/>
        <scheme val="minor"/>
      </rPr>
      <t>Source:</t>
    </r>
    <r>
      <rPr>
        <sz val="11"/>
        <rFont val="Aptos Narrow"/>
        <family val="2"/>
        <scheme val="minor"/>
      </rPr>
      <t xml:space="preserve"> Published results/ information provided by oil companies.</t>
    </r>
  </si>
  <si>
    <r>
      <rPr>
        <b/>
        <sz val="11"/>
        <rFont val="Aptos Narrow"/>
        <family val="2"/>
        <scheme val="minor"/>
      </rPr>
      <t xml:space="preserve">Note: </t>
    </r>
    <r>
      <rPr>
        <sz val="11"/>
        <rFont val="Aptos Narrow"/>
        <family val="2"/>
        <scheme val="minor"/>
      </rPr>
      <t>Financials are on standalone basis</t>
    </r>
  </si>
  <si>
    <t>*  BPCL figures for 2022-23 includes BORL &amp; BGRL  also after its merger with BPCL. BPCL Figures for 2021-22 have been reinstated here after merger.
** RIL Figures for 2022-23 have been reinstated here after demerger.
#NA - Not Avaialble</t>
  </si>
  <si>
    <t>Finance Cost</t>
  </si>
  <si>
    <t>Category wise  Retail Outlets (Total 103023) as on 01.4.2026</t>
  </si>
  <si>
    <t xml:space="preserve">On 1.4.2026 the number of public sector oil company owned retail outlets was 93503 out of a total of 103023 outlets on all India basis,  whereas the number of retail outlets owned by private oil companies was 9520. Participation by private sector in retail outlet business started in FY 2004 with 27 retail outlets. As on 01.04.2026 it accounted for 9.3% of the total market representation. </t>
  </si>
  <si>
    <t>•  In the private sector the  increase in market share has been observed for MS(0.9%) and HSD(0.9%).</t>
  </si>
  <si>
    <t xml:space="preserve">On all-India basis, the drop in allocation in the last five years has been 73.7% due to voluntary surrender of PDS SKO allocation by some of the states in addition to Nil PDS SKO allocation to the above states. The allocation drop has been steepest in the Northern region (99.4%) followed by Western region (96.1%), Northeastern region (88.2%) Eastern region (68.7%) &amp; Southern region (39.9%)._x000B_Overall lapse quota of PDS SKO on subsidized rate for the FY 2025-26  was 22.6%         
</t>
  </si>
  <si>
    <t>In FY 2025-26, 18 States &amp; UTs have NIL allocation and upliftment of Kerosene.</t>
  </si>
  <si>
    <t>The 24% growth in the total number of retail outlets as of 01.04.2026 compared to 01.04.2022. The region-wise growth is highest for the North-Eastern region (40%), followed by the Northern region (25%), Western region (24%), Southern region (23%), and Eastern region (22%) during the same period.</t>
  </si>
  <si>
    <t>The Retail network in the Country at 1,03,023 RO's as on 1.4.2026, wherein Rural RO’s also reached to 29,526.</t>
  </si>
  <si>
    <t>·        As on 01.04.2026, the total LPG tankage on all-India basis is around 1583.3 TMT which is equivalent to about 18 days of consumption.</t>
  </si>
  <si>
    <t>Bhadbhut</t>
  </si>
  <si>
    <t>KG - Tatipaka</t>
  </si>
  <si>
    <t>GIXI - April 2026</t>
  </si>
  <si>
    <t>24% VAT + Rs.2/litre VAT</t>
  </si>
  <si>
    <r>
      <rPr>
        <b/>
        <sz val="10"/>
        <rFont val="Book Antiqua"/>
        <family val="1"/>
      </rPr>
      <t>Source</t>
    </r>
    <r>
      <rPr>
        <sz val="10"/>
        <rFont val="Book Antiqua"/>
        <family val="1"/>
      </rPr>
      <t>: Energy Institute's Statistical Review of World Energy, 2026</t>
    </r>
  </si>
  <si>
    <t>Türkiye</t>
  </si>
  <si>
    <t>Belgium</t>
  </si>
  <si>
    <t>Source: Energy Institute's Statistical Review of World Energy, 2026</t>
  </si>
  <si>
    <t>R/P Ratio</t>
  </si>
  <si>
    <t xml:space="preserve">Country </t>
  </si>
  <si>
    <r>
      <t xml:space="preserve">Source: </t>
    </r>
    <r>
      <rPr>
        <sz val="16"/>
        <rFont val="Book Antiqua"/>
        <family val="1"/>
      </rPr>
      <t>Energy Institute's Statistical Review of World Energy, 2026. Latest data available for this table is for 2020.</t>
    </r>
  </si>
  <si>
    <r>
      <t xml:space="preserve">Figures are for Calendar year
</t>
    </r>
    <r>
      <rPr>
        <b/>
        <sz val="16"/>
        <rFont val="Book Antiqua"/>
        <family val="1"/>
      </rPr>
      <t>Reserves-to-production (R/P) ratio</t>
    </r>
    <r>
      <rPr>
        <sz val="16"/>
        <rFont val="Book Antiqua"/>
        <family val="1"/>
      </rPr>
      <t xml:space="preserve"> - If the reserves remaining at the end of any year are divided by the production in that year, the result is the length of time that those remaining reserves would last if production were to continue at that rate.
</t>
    </r>
  </si>
  <si>
    <r>
      <rPr>
        <b/>
        <sz val="14"/>
        <color theme="1"/>
        <rFont val="Book Antiqua"/>
        <family val="1"/>
      </rPr>
      <t>Source</t>
    </r>
    <r>
      <rPr>
        <sz val="14"/>
        <color theme="1"/>
        <rFont val="Book Antiqua"/>
        <family val="1"/>
      </rPr>
      <t>: Energy Institute's Statistical Review of World Energy, 2026 ; * More than 500 years.</t>
    </r>
  </si>
  <si>
    <t>Sub Total</t>
  </si>
  <si>
    <r>
      <rPr>
        <b/>
        <sz val="16"/>
        <rFont val="Book Antiqua"/>
        <family val="1"/>
      </rPr>
      <t xml:space="preserve">Source: </t>
    </r>
    <r>
      <rPr>
        <sz val="16"/>
        <rFont val="Book Antiqua"/>
        <family val="1"/>
      </rPr>
      <t>Energy Institute's Statistical Review of World Energy, 2026</t>
    </r>
  </si>
  <si>
    <t>Other EU</t>
  </si>
  <si>
    <t>Other Asia Pacific</t>
  </si>
  <si>
    <t>Other S. &amp; Cent. America</t>
  </si>
  <si>
    <t>Chile</t>
  </si>
  <si>
    <t>Other Middle East &amp; Africa</t>
  </si>
  <si>
    <t>Rest of Europe</t>
  </si>
  <si>
    <t>(Billion cubic metres)</t>
  </si>
  <si>
    <t xml:space="preserve"> US</t>
  </si>
  <si>
    <t>Papua New Guinea</t>
  </si>
  <si>
    <t>Brunei</t>
  </si>
  <si>
    <t>Peru</t>
  </si>
  <si>
    <t>Other Americas*</t>
  </si>
  <si>
    <t>Other Asia Pacific*</t>
  </si>
  <si>
    <t>Other Europe*</t>
  </si>
  <si>
    <t>Figures are for Calendar year                   *Largely consists of re-exports.</t>
  </si>
  <si>
    <t xml:space="preserve"> Non-OECD</t>
  </si>
  <si>
    <t xml:space="preserve">#  European Union </t>
  </si>
  <si>
    <t>Table 3.3a : World Liquified Natural Gas (LNG) Importing countries</t>
  </si>
  <si>
    <t>Table 3.2a : World Liquefied Natural Gas (LNG) Exporting countries</t>
  </si>
  <si>
    <r>
      <rPr>
        <b/>
        <sz val="14"/>
        <rFont val="Book Antiqua"/>
        <family val="1"/>
      </rPr>
      <t>2025</t>
    </r>
    <r>
      <rPr>
        <b/>
        <sz val="10"/>
        <rFont val="Book Antiqua"/>
        <family val="1"/>
      </rPr>
      <t xml:space="preserve">
(Million barrels daily)</t>
    </r>
  </si>
  <si>
    <r>
      <t xml:space="preserve">Source: </t>
    </r>
    <r>
      <rPr>
        <sz val="10"/>
        <rFont val="Book Antiqua"/>
        <family val="1"/>
      </rPr>
      <t>Energy Institute's Statistical Review of World Energy, 2026</t>
    </r>
  </si>
  <si>
    <r>
      <rPr>
        <b/>
        <sz val="12"/>
        <rFont val="Book Antiqua"/>
        <family val="1"/>
      </rPr>
      <t>Source:</t>
    </r>
    <r>
      <rPr>
        <sz val="12"/>
        <rFont val="Book Antiqua"/>
        <family val="1"/>
      </rPr>
      <t xml:space="preserve"> Energy Institute Statistical Review of World Energy, 2026</t>
    </r>
  </si>
  <si>
    <t>Table 1.2a : Top 5 countries primary energy consumption (Mtoe)</t>
  </si>
  <si>
    <r>
      <t>The crude Oil processing during FY 2025-26 (P) was 272.0 MMT, during this period the average capacity utilization was</t>
    </r>
    <r>
      <rPr>
        <sz val="11"/>
        <rFont val="Aptos"/>
        <family val="2"/>
      </rPr>
      <t xml:space="preserve"> 106 %.</t>
    </r>
  </si>
  <si>
    <t>Source-Energy Institute Statistical Review of World Energy, 2026</t>
  </si>
  <si>
    <t>The crude oil imports during FY 2025-26 registered a 1.0% increase compared to the previous year.</t>
  </si>
  <si>
    <t>During FY 2025-26, imports of petroleum products experienced a notable decrease of 9.3% compared to the previous year. The decrease in imports during this period was primarily driven by a decrease in the import of petcoke and fuel oil (FO) etc. Within the import basket of petroleum products in FY 2025-26, Liquefied Petroleum Gas (LPG) held the highest share at 46.0%, followed by petcoke at 21.7%, and fuel oil at 11.7%. The entire quantity of petcoke was imported by private importers.</t>
  </si>
  <si>
    <r>
      <t xml:space="preserve">Source: </t>
    </r>
    <r>
      <rPr>
        <sz val="12"/>
        <color theme="1"/>
        <rFont val="Book Antiqua"/>
        <family val="1"/>
      </rPr>
      <t>Oil companies &amp; DGCIS, (P) : Provisional</t>
    </r>
    <r>
      <rPr>
        <b/>
        <sz val="12"/>
        <color theme="1"/>
        <rFont val="Book Antiqua"/>
        <family val="1"/>
      </rPr>
      <t xml:space="preserve">;  </t>
    </r>
    <r>
      <rPr>
        <sz val="12"/>
        <color theme="1"/>
        <rFont val="Book Antiqua"/>
        <family val="1"/>
      </rPr>
      <t>Total may not tally due to rounding off.</t>
    </r>
  </si>
  <si>
    <t>Crude oil imports decreased by 14.9% and increased by 1.0% during March 2026 and April-March FY 2025-26 respectively as compared to the corresponding period of the previous year</t>
  </si>
  <si>
    <t>Imports made due to deficit in production viz. LPG and Lubes/LOBS accounted for 52.9% share of total POL products import during April-March FY 2025-26 as compared to 46.2% during April-March FY 2024-25.</t>
  </si>
  <si>
    <t>Imports of naphtha and FO were done for commercial and technical considerations and accounted for 14.2% share of total POL products import during April-March FY 2025-26 as compared to 16.9% during April-March FY 2024-25.</t>
  </si>
  <si>
    <t>*Source: DGCIS</t>
  </si>
  <si>
    <t>Table 3.6 : Geographical Area wise Number of CNG stations and PNG Connections as on 01.04.2026</t>
  </si>
  <si>
    <t>Date of Authorization</t>
  </si>
  <si>
    <t>North East Gas Distribution Company Limited</t>
  </si>
  <si>
    <t>Indian Oil-Adani Gas Private Limited</t>
  </si>
  <si>
    <t>HCG Meghalaya Private Limited</t>
  </si>
  <si>
    <t>Jalandhar*</t>
  </si>
  <si>
    <t>29-03-2019            
(New Start Date 01.10.2019)</t>
  </si>
  <si>
    <t>29-03-2019           
(New Start Date 01.10.2019)</t>
  </si>
  <si>
    <t>Capacity as on  01.04.2026 (In MMTPA)</t>
  </si>
  <si>
    <t xml:space="preserve">Capacity utilisation - Apr-Mar 2026 
(Cumulative) in % </t>
  </si>
  <si>
    <t xml:space="preserve">Source: DGCIS </t>
  </si>
  <si>
    <t>1 June 2026 - 30 June 2026</t>
  </si>
  <si>
    <t>1 July 2026 - 31 July 2026</t>
  </si>
  <si>
    <t>* Inputs based on the information submitted by CGD entities - subject to revisions,  if any.
   Categorizations of data under Commercial and Industrial sectors- as per the respective policies of individual CGD entities</t>
  </si>
  <si>
    <t>Statewise CGD Sale Profile* (in SCMD) - Oct-Mar (H2) 2025-26</t>
  </si>
  <si>
    <t>Table 3.12 Statewise CGD Sale Profile (in SCMD) base period: FY 2025-26</t>
  </si>
  <si>
    <t>October-2025 to March 2026(P)</t>
  </si>
  <si>
    <t xml:space="preserve">Note: * Inputs based on the information submitted by CGD entities - subject to revisions,  if any.
   Categorizations of data under Commercial and Industrial sectors- as per the respective policies of individual CGD entities </t>
  </si>
  <si>
    <t>Note: Inputs based on the information submitted by CGD entities - subject to revisions,  if any.</t>
  </si>
  <si>
    <t>Oct-2025 to Mar-2026(P)</t>
  </si>
  <si>
    <t>Others/ Industry/ Misc.</t>
  </si>
  <si>
    <t>LPG Shrinkage</t>
  </si>
  <si>
    <t>Pipeline I/C</t>
  </si>
  <si>
    <t>Petchem</t>
  </si>
  <si>
    <t>State-wise Sectoral Consumption  (in MMSCM) for FY 2025-26</t>
  </si>
  <si>
    <t>Totals may not tally due to rounding off. The dataset is based on information provided by Oil &amp; Gas Companies reporting to PPAC. Components of internal consumption related to VAP shrinkage, LPG Shrinkage, Captive Power Generation, supply to power houses, supply to crematoriums &amp; schools etc. as reported by Oil &amp; Gas Companies have also been included. 
For Certain UTs/ States not reflected in above data, kindly refer CGD Table 3.12 of PPAC Ready Reckoner, as the supply of gas in the areas may have been sourced from some other state/UT as mentioned above.</t>
  </si>
  <si>
    <t xml:space="preserve">a.       The LNG Imports in volume terms decreased by 3.6% i.e. to 34427 MMSCM in FY 2025-26 (P) from 35720 MMSCM in FY 2024-25. In value terms, the LNG Imports in US $ terms, have shown a decrease of approx. 10.4% i.e. to US $ 13356 Million in the period FY 2025-26 (P) from US $ 14908 Million in the period FY 2024-25. Source: DGCIS </t>
  </si>
  <si>
    <t xml:space="preserve">a.       Utilization of LNG terminal capacity of 52.7 MMTPA in the period April 2025 - Mar 2026 ranged from 6.2% (Chhara Terminal) to 91.9% (Dahej LNG terminal). </t>
  </si>
  <si>
    <t>a.       In terms of infrastructure, as on 01.04.2026, there are 8916 CNG stations and 17021202 PNG connections (DPNG- 16949377 Nos., Commercial- 49994 Nos., Industrial- 21831 Nos.) (Source: PNGRB)</t>
  </si>
  <si>
    <t xml:space="preserve">b.       CNG stations has increased by 10.52% from 8067 CNG stations as on 01.04.2025 and PNG Connections have increased aggregatively by 12.68% from 15041471 Connections as on 01.04.2025 </t>
  </si>
  <si>
    <t xml:space="preserve">b.       Sectoral Consumption: Major Sectors for NG Consumption during April 2025 - March 2026 are Fertilizer (28%), CGD (24%), Power (11.5%), Refinery (8%) and Petrochem (6%). </t>
  </si>
  <si>
    <t>World</t>
  </si>
  <si>
    <t># GRM of North-East refineries are including excise duty benefit 
* Not available
** BPCL figures for the period 2022-23 onwards includes BORL also after its merger with BPCL
***IOCL &amp; MRPL has stopped publishing GRM FY 2025-26.</t>
  </si>
  <si>
    <t>May</t>
  </si>
  <si>
    <t>June</t>
  </si>
  <si>
    <t>1.  The Indian basket of crude oil represents a derived basket comprising of sweet grade of crude oil (Brent Dated) and sour grades of crude oil (average of Oman &amp; Dubai) processed (indigenous and imported) by all the Indian refineries (PSU and Pvt.) till Feb'26. and from March 2026 onwards represents a derived basket comprising of Sweet grade (Brent Dated) and Sour grade (Oman &amp; Dubai average) of Crude oil imported by Indian refineries during each month.</t>
  </si>
  <si>
    <t>As on 
01.07.2026</t>
  </si>
  <si>
    <t>Table 8.6 : Break up of Central excise duty on Petrol &amp; Diesel 
(As on 01.07.2026)</t>
  </si>
  <si>
    <t>Table 8.7 : Share of taxes in retail selling price of PDS Kerosene as on 01.07.2026 at Mumbai</t>
  </si>
  <si>
    <t>Table 8.8 : Share of taxes in retail selling price of Domestic LPG as on 01.07.2026 at Delhi</t>
  </si>
  <si>
    <t>102.12^</t>
  </si>
  <si>
    <t>95.20^</t>
  </si>
  <si>
    <t>62.00#</t>
  </si>
  <si>
    <t>942.00**</t>
  </si>
  <si>
    <t>102.23*</t>
  </si>
  <si>
    <t>1170.21##</t>
  </si>
  <si>
    <t xml:space="preserve">^ Petrol and Diesel  at Delhi  as on 01.07.2026 as per IOCL
# at Mumbai as on 01.07.2026 for PDS Kerosene 
## at Islamabad as on 01.07.2026 for Domestic LPG; * Grade - PREMIER EURO 5 
**Non subsidised Domestic LPG at Delhi as on 01.07.2026
</t>
  </si>
  <si>
    <t xml:space="preserve">Note - Prices for neighboring countries as available on their respective website as on 01.07.2026
Sources:Websites: 
Pakistan- Pakistan State Oil (www.psopk.com) and Oil and Gas Regulatory Authority (www.ogra.org.pk); 
Nepal- Nepal Oil Corporation (www.nepaloil.com.np); 
Sri Lanka- Petrol, Diesel &amp; Kerosene- Ceylon Petroleum Corporation (www.ceypetco.gov.lk); LPG- Litro Gas Lanka (www.litrogas.com) ; 
Exchange rate - www.oanda.com </t>
  </si>
  <si>
    <t>4. Prices in India as of 01.07.2026 as per IOCL.</t>
  </si>
  <si>
    <t>Table 8.14 : Retail selling price of petroleum products 
at State capitals / UTs as on 01.07.2026</t>
  </si>
  <si>
    <t>Table 8.15 : Retail selling price of PDS kerosene at major Metro cities as on 01.07.2026</t>
  </si>
  <si>
    <t>Table 8.16 : Customs, Excise duty and GST rates on petroleum products as on 01.07.2026</t>
  </si>
  <si>
    <t>Table 8.17 : Actual rate of sales tax/ VAT/GST and other taxes levied by State/UT Governments on major petroleum products as on 01.07.2026</t>
  </si>
  <si>
    <t>Source LNG terminal operating entities</t>
  </si>
  <si>
    <t>Dadra &amp; Nagar Haveli Daman and Diu</t>
  </si>
  <si>
    <r>
      <rPr>
        <b/>
        <sz val="11"/>
        <rFont val="Aptos Narrow"/>
        <family val="2"/>
        <scheme val="minor"/>
      </rPr>
      <t>Source</t>
    </r>
    <r>
      <rPr>
        <sz val="11"/>
        <rFont val="Aptos Narrow"/>
        <family val="2"/>
        <scheme val="minor"/>
      </rPr>
      <t>: Based on data provided by 15 oil &amp; gas companies &amp; effective 2024-25 including Major CGDs</t>
    </r>
  </si>
  <si>
    <r>
      <rPr>
        <b/>
        <sz val="11"/>
        <rFont val="Aptos Narrow"/>
        <family val="2"/>
        <scheme val="minor"/>
      </rPr>
      <t>Source:</t>
    </r>
    <r>
      <rPr>
        <sz val="11"/>
        <rFont val="Aptos Narrow"/>
        <family val="2"/>
        <scheme val="minor"/>
      </rPr>
      <t xml:space="preserve"> Based on data provided by 15 oil &amp; gas companies &amp; effective 2024-25 including Major CGDs</t>
    </r>
  </si>
  <si>
    <t>Growth 
2015 vs 2025</t>
  </si>
  <si>
    <t xml:space="preserve">a.       The domestic Gross Production of natural gas for the FY 2025-26 period has shown a decrease of 3.7% when compared from FY 2024-25 i.e. an decrease of 1338 MMSCM from 36113 MMSCM in FY 2024-25 to 34776 MMSCM in FY 2025-26 (P). </t>
  </si>
  <si>
    <t>b.       The decrease is mainly due to a decrease in production of natural gas from PSC/JVs fields (6.7%), ONGC (1.7% from nomination fields) and OIL (2.4% from nomination fields.)</t>
  </si>
  <si>
    <t xml:space="preserve">a.       From availability perspective: Total Yearly Consumption for FY 2025-26 (including internal use i.e Net Production + LNG import) stood at 68753 MMSCM, showing a decrease of approx. 4% compared to the previous corresponding period with 71314 MMSCM. (Source for LNG Import: DGCIS) </t>
  </si>
  <si>
    <t xml:space="preserve">•	The fiscal year 2025–26 began with relatively low international crude oil prices, primarily due to the impact of the U.S. President’s aggressive trade and energy policies, coupled with the OPEC+ unwinding of production cuts of 2.2 million barrels per day (bpd) along with ample supplies from non-OPEC producers (particularly from the U.S., Guyana, Brazil, and Canada) contributed to a well-supplied market amid modest global demand  </t>
  </si>
  <si>
    <t>•	However, the US–Israel–Iran conflict, which began on 28 February 2026, severely disrupted global petroleum supply chains for both crude oil and refined petroleum products particularly through the Strait of Hormuz , leading to a sharp increase in international FOB prices. Regional demand-supply imbalances further intensified the upward pressure on crude and product prices. The price of the Indian basket of crude oil, which averaged US$69.01/bbl in February 2026, surged to US$135/bbl during the first week of April 2026 before averaging US$106.23/bbl in May 2026. However, international crude oil prices partially softened in June 2026, with the Indian Basket averaging US$83.22/bbl, primarily due to the interim ceasefire and subsequent negotiations between the United States and Iran, which eased geopolitical tensions</t>
  </si>
  <si>
    <t>Table 8.13B : Monthly Average End-User Prices For Petroleum Products
 in India &amp; Developed Countries-Jun'26</t>
  </si>
  <si>
    <t>Dadra &amp; Nagar Haveli and Daman and Diu</t>
  </si>
  <si>
    <r>
      <rPr>
        <b/>
        <sz val="11"/>
        <rFont val="Book Antiqua"/>
        <family val="1"/>
      </rPr>
      <t>Source:</t>
    </r>
    <r>
      <rPr>
        <sz val="11"/>
        <rFont val="Book Antiqua"/>
        <family val="1"/>
      </rPr>
      <t xml:space="preserve"> Energy Institute Statistical Review of World Energy,2026 /  Source: BP Statistical Review of World Energy, 2021. </t>
    </r>
  </si>
  <si>
    <r>
      <rPr>
        <b/>
        <sz val="11"/>
        <rFont val="Book Antiqua"/>
        <family val="1"/>
      </rPr>
      <t xml:space="preserve">Mtoe: </t>
    </r>
    <r>
      <rPr>
        <sz val="11"/>
        <rFont val="Book Antiqua"/>
        <family val="1"/>
      </rPr>
      <t xml:space="preserve">Million tonnes of oil equavalent, </t>
    </r>
    <r>
      <rPr>
        <b/>
        <sz val="11"/>
        <rFont val="Book Antiqua"/>
        <family val="1"/>
      </rPr>
      <t>Toe:</t>
    </r>
    <r>
      <rPr>
        <sz val="11"/>
        <rFont val="Book Antiqua"/>
        <family val="1"/>
      </rPr>
      <t xml:space="preserve"> Tonnes of oil equivalent </t>
    </r>
  </si>
  <si>
    <t>•	The subsidy burden on petroleum products was Rs.27,584 crores during FY 2025-26 and Rs.14,810 crores during FY 2024-25.</t>
  </si>
  <si>
    <t>The consumption of petroleum products has gone up from 184.7 MMT in  FY 2015-16 to 241.6 MMT in  FY 2025-26. The compounded annual growth rate (CAGR) of  total POL consumption in the last decade has been 2.7% The  consumption based CAGR was highest in LDO marking 9.5% among POL products in the last decade followed by MS (6.9%), LPG (5.4%), 'Others' at 5.0%, Bitumen (3.9%), ATF (3.9%), Lubes (3.3%) and HSD (2.4%). Negative CAGR in the last decade was observed in the consumption of  SKO   (23.6%), Naphtha (1.2%), Petcoke (0.5%) and FO/LSHS (0.4%).</t>
  </si>
  <si>
    <t>1-Per capita sales figures are based on sales figures for the period April 2025 - March 2026</t>
  </si>
  <si>
    <t>*All India domestic sales figures are including private imports &amp; SEZ data</t>
  </si>
  <si>
    <r>
      <t>§</t>
    </r>
    <r>
      <rPr>
        <sz val="12"/>
        <color theme="1"/>
        <rFont val="Aptos"/>
        <family val="2"/>
      </rPr>
      <t> Overall consumption of POL for FY 2025-26 in the Country was recorded at 241.6 MMT with a modest growth of 1.0% over the corresponding period in FY 2024-25. Growth in the petroleum products is driven by growth in LPG at 5.9%, MS at 6.5%, 3.6% growth in HSD while growth in ATF recorded at 2.0%.</t>
    </r>
  </si>
  <si>
    <t>• The share of the public sector in total consumption increased marginally during FY2025-26 by 1.9% as compared to the last year.</t>
  </si>
  <si>
    <t>• The share of the public sector OMC's during FY 2025-26 has been increased in ATF(1.7%), Petcoke (6.2%) and Others (11.5%) as compared same period in previous year.</t>
  </si>
  <si>
    <t xml:space="preserve">3.  Prices of France, Germany, Italy, Spain, UK, Japan, Canada &amp; USA: IEA report for July 2026 and average exchange rate of June 2026 considered for conversion: Rs.94.97/USD. </t>
  </si>
  <si>
    <t>Maharashtra – Mumbai, Thane &amp; Navi Mumbai</t>
  </si>
  <si>
    <t>Import/Export for FY 2025-26 data is provisional</t>
  </si>
  <si>
    <t>Table 2.10: Status of Shale Gas and oil development in India ( As on 01.04.2026)</t>
  </si>
  <si>
    <t>Note: As per Energy Institute's Statistical Review of World Energy 2026, India is at 24th position with Natural Gas Production at 31 BCM in calendar year 2025, while as per PPAC, the Net Natural Gas Production of India (excluding flare &amp; loss) during calendar year 2025 was 35 BCM.</t>
  </si>
  <si>
    <t>Source:  Energy Institute's Statistical Review of World Energy, 2026. 
Note: As per Energy Institute's Statistical Review of World Energy 2026, India is at 11th position with Natural Gas consumption at 67 BCM in calendar year 2025, while as per PPAC, the availability-based Natural Gas consumption of India during calendar year 2025 was 69 BCM.
Figures are for Calendar year</t>
  </si>
  <si>
    <t>Source: Energy Institute's Statistical Review of World Energy, 2026. Totals may not tally due to rounding off.
Note: As per Energy Institute's Statistical Review of World Energy 2026, India is at 4th position with LNG import at 35.4 BCM in calendar year 2025, while, as per PPAC, the LNG import of India during calendar year 2025 was 33.9 BCM
(Source:DGCIS).</t>
  </si>
  <si>
    <t>Source: Based on the information submitted by CGD entities - subject to revisions, if any.</t>
  </si>
  <si>
    <t>• The country achieved an Ethanol Blending in Petrol (EBP) level of 14.6% during ESY 2023–24 (November 2023–October 2024). The blending percentage increased significantly to 19.2% during ESY 2024–25 (November 2024–October 2025). The ethanol blending level reached 20% during current ESY 2025–26 (November 2025–March 2026).</t>
  </si>
  <si>
    <t>Sector-wise FO consumption for FY 2025-26 &amp;  FY 2024-25</t>
  </si>
  <si>
    <t>•	Oil &amp; Gas industry is one of the most important contributors to Central &amp; State Exchequers. During the FY 2024-25, Petroleum sector contributed Rs.424,827 crores to Central exchequer by way of various Taxes /duties on crude oil &amp; petroleum products. Further the contribution for the period FY 2025-26 is Rs.475,739/- crores. The Contribution of petroleum sector to State exchequer during FY 2024-25 was Rs.3,33,397 crores by way of VAT and other taxes, royalty, etc. Further the contribution for the period FY 2025-26 the amount is Rs.341,821/- crores</t>
  </si>
  <si>
    <t xml:space="preserve">Final Estimate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</si>
</sst>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8">
    <numFmt numFmtId="41" formatCode="_ * #,##0_ ;_ * \-#,##0_ ;_ * &quot;-&quot;_ ;_ @_ "/>
    <numFmt numFmtId="43" formatCode="_ * #,##0.00_ ;_ * \-#,##0.00_ ;_ * &quot;-&quot;??_ ;_ @_ "/>
    <numFmt numFmtId="164" formatCode="_-* #,##0.00_-;\-* #,##0.00_-;_-* &quot;-&quot;??_-;_-@_-"/>
    <numFmt numFmtId="165" formatCode="_(* #,##0.00_);_(* \(#,##0.00\);_(* &quot;-&quot;??_);_(@_)"/>
    <numFmt numFmtId="166" formatCode="#,##0_);\-#,##0"/>
    <numFmt numFmtId="167" formatCode="#,##0.00_);\-#,##0.00"/>
    <numFmt numFmtId="168" formatCode="0.0"/>
    <numFmt numFmtId="169" formatCode="0.0%"/>
    <numFmt numFmtId="170" formatCode="#,##0.0_);\-#,##0.0"/>
    <numFmt numFmtId="171" formatCode="#,##0.0_ ;\-#,##0.0\ "/>
    <numFmt numFmtId="172" formatCode="&quot;$&quot;#,##0.00"/>
    <numFmt numFmtId="173" formatCode="[&gt;=10000000]##\,##\,##\,##0;[&gt;=100000]\ ##\,##\,##0;##,##0"/>
    <numFmt numFmtId="174" formatCode="_(* #,##0.000000_);_(* \(#,##0.000000\);_(* &quot;-&quot;??_);_(@_)"/>
    <numFmt numFmtId="175" formatCode="_(* #,##0_);_(* \(#,##0\);_(* &quot;-&quot;??_);_(@_)"/>
    <numFmt numFmtId="176" formatCode="[&gt;=10000000]##.0\,##\,##\,##0;[&gt;=100000]\ ##.0\,##\,##0;##,##0.0"/>
    <numFmt numFmtId="177" formatCode="#,##0.0"/>
    <numFmt numFmtId="178" formatCode="[&gt;0.05]0.0;[=0]\-;\^"/>
    <numFmt numFmtId="179" formatCode="[&lt;500]0.0;[=0]\-;&quot;*&quot;"/>
    <numFmt numFmtId="180" formatCode="_-* #,##0.0_-;\-* #,##0.0_-;_-* &quot;-&quot;?_-;_-@_-"/>
    <numFmt numFmtId="181" formatCode="[&gt;0.05]0;[=0]\-;\^"/>
    <numFmt numFmtId="182" formatCode="0_);\(0\)"/>
    <numFmt numFmtId="183" formatCode="_(* #,##0.000_);_(* \(#,##0.000\);_(* &quot;-&quot;?_);_(@_)"/>
    <numFmt numFmtId="184" formatCode="_(* #,##0.0000_);_(* \(#,##0.0000\);_(* &quot;-&quot;?_);_(@_)"/>
    <numFmt numFmtId="185" formatCode="0.000"/>
    <numFmt numFmtId="186" formatCode="0.0000"/>
    <numFmt numFmtId="187" formatCode="[&gt;=0.05]0;[=0]\-;\^"/>
    <numFmt numFmtId="188" formatCode="0.000000"/>
    <numFmt numFmtId="189" formatCode="0.000000000000"/>
    <numFmt numFmtId="190" formatCode="0.000000000000000000"/>
    <numFmt numFmtId="191" formatCode="0.000000%"/>
    <numFmt numFmtId="192" formatCode="0.00000000"/>
    <numFmt numFmtId="193" formatCode="mmmm"/>
    <numFmt numFmtId="194" formatCode="0.0000000000"/>
    <numFmt numFmtId="195" formatCode="0.00000"/>
    <numFmt numFmtId="196" formatCode="0.00000000000"/>
    <numFmt numFmtId="197" formatCode="0.0000000000000"/>
    <numFmt numFmtId="198" formatCode="0.0000000000000000000000000000000000"/>
    <numFmt numFmtId="199" formatCode="[$-409]mmm\-yy;@"/>
    <numFmt numFmtId="200" formatCode="0.0_)"/>
    <numFmt numFmtId="201" formatCode="_ * #,##0.0_ ;_ * \-#,##0.0_ ;_ * &quot;-&quot;??_ ;_ @_ "/>
    <numFmt numFmtId="202" formatCode="&quot;Subtotal:&quot;\ @"/>
    <numFmt numFmtId="203" formatCode="_ * #,##0.0_ ;_ * \-#,##0.0_ ;_ * &quot;-&quot;_ ;_ @_ "/>
    <numFmt numFmtId="204" formatCode="[$-409]dd/mmm/yy;@"/>
    <numFmt numFmtId="205" formatCode="0.00_);\(0.00\)"/>
    <numFmt numFmtId="206" formatCode="##\,##\,##0"/>
    <numFmt numFmtId="207" formatCode="0.00_ ;\-0.00\ "/>
    <numFmt numFmtId="208" formatCode="_ * #,##0_ ;_ * \-#,##0_ ;_ * &quot;-&quot;??_ ;_ @_ "/>
    <numFmt numFmtId="209" formatCode="0.000%"/>
  </numFmts>
  <fonts count="229"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sz val="12"/>
      <color rgb="FFFF0000"/>
      <name val="Aptos Narrow"/>
      <family val="2"/>
      <scheme val="minor"/>
    </font>
    <font>
      <u/>
      <sz val="11"/>
      <color theme="10"/>
      <name val="Aptos Narrow"/>
      <family val="2"/>
      <scheme val="minor"/>
    </font>
    <font>
      <b/>
      <sz val="14"/>
      <color indexed="8"/>
      <name val="Book Antiqua"/>
      <family val="1"/>
    </font>
    <font>
      <sz val="11"/>
      <color theme="1"/>
      <name val="Book Antiqua"/>
      <family val="1"/>
    </font>
    <font>
      <sz val="10"/>
      <name val="Arial"/>
      <family val="2"/>
    </font>
    <font>
      <b/>
      <sz val="12"/>
      <name val="Book Antiqua"/>
      <family val="1"/>
    </font>
    <font>
      <sz val="12"/>
      <name val="Book Antiqua"/>
      <family val="1"/>
    </font>
    <font>
      <vertAlign val="superscript"/>
      <sz val="12"/>
      <name val="Book Antiqua"/>
      <family val="1"/>
    </font>
    <font>
      <sz val="11"/>
      <name val="Book Antiqua"/>
      <family val="1"/>
    </font>
    <font>
      <b/>
      <sz val="11"/>
      <color theme="1"/>
      <name val="Book Antiqua"/>
      <family val="1"/>
    </font>
    <font>
      <sz val="11"/>
      <color rgb="FFFF0000"/>
      <name val="Book Antiqua"/>
      <family val="1"/>
    </font>
    <font>
      <sz val="12"/>
      <color theme="1"/>
      <name val="Book Antiqua"/>
      <family val="1"/>
    </font>
    <font>
      <sz val="12"/>
      <color rgb="FFFF0000"/>
      <name val="Book Antiqua"/>
      <family val="1"/>
    </font>
    <font>
      <u/>
      <sz val="10"/>
      <color indexed="12"/>
      <name val="Arial"/>
      <family val="2"/>
    </font>
    <font>
      <u/>
      <sz val="10"/>
      <color indexed="12"/>
      <name val="Book Antiqua"/>
      <family val="1"/>
    </font>
    <font>
      <vertAlign val="superscript"/>
      <sz val="12"/>
      <color theme="1"/>
      <name val="Book Antiqua"/>
      <family val="1"/>
    </font>
    <font>
      <sz val="12"/>
      <color indexed="8"/>
      <name val="Book Antiqua"/>
      <family val="1"/>
    </font>
    <font>
      <b/>
      <sz val="9"/>
      <color indexed="81"/>
      <name val="Tahoma"/>
      <family val="2"/>
    </font>
    <font>
      <sz val="9"/>
      <color indexed="81"/>
      <name val="Tahoma"/>
      <family val="2"/>
    </font>
    <font>
      <b/>
      <sz val="14"/>
      <name val="Book Antiqua"/>
      <family val="1"/>
    </font>
    <font>
      <b/>
      <sz val="12"/>
      <name val="Tw Cen MT"/>
      <family val="2"/>
    </font>
    <font>
      <b/>
      <sz val="12"/>
      <color rgb="FFFF0000"/>
      <name val="Book Antiqua"/>
      <family val="1"/>
    </font>
    <font>
      <sz val="11"/>
      <color theme="1"/>
      <name val="Tw Cen MT"/>
      <family val="2"/>
    </font>
    <font>
      <u/>
      <sz val="10"/>
      <color indexed="12"/>
      <name val="Tw Cen MT"/>
      <family val="2"/>
    </font>
    <font>
      <sz val="12"/>
      <color theme="1"/>
      <name val="Tw Cen MT"/>
      <family val="2"/>
    </font>
    <font>
      <sz val="8"/>
      <name val="Arial"/>
      <family val="2"/>
    </font>
    <font>
      <b/>
      <sz val="8"/>
      <name val="Arial"/>
      <family val="2"/>
    </font>
    <font>
      <sz val="12"/>
      <name val="Tw Cen MT"/>
      <family val="2"/>
    </font>
    <font>
      <b/>
      <sz val="11"/>
      <color theme="1"/>
      <name val="Tw Cen MT"/>
      <family val="2"/>
    </font>
    <font>
      <b/>
      <sz val="16"/>
      <color theme="1"/>
      <name val="Book Antiqua"/>
      <family val="1"/>
    </font>
    <font>
      <b/>
      <sz val="14"/>
      <color theme="1"/>
      <name val="Book Antiqua"/>
      <family val="1"/>
    </font>
    <font>
      <sz val="14"/>
      <color rgb="FFFF0000"/>
      <name val="Book Antiqua"/>
      <family val="1"/>
    </font>
    <font>
      <b/>
      <sz val="12"/>
      <color theme="1"/>
      <name val="Book Antiqua"/>
      <family val="1"/>
    </font>
    <font>
      <sz val="10"/>
      <name val="Book Antiqua"/>
      <family val="1"/>
    </font>
    <font>
      <sz val="10"/>
      <color theme="1"/>
      <name val="Book Antiqua"/>
      <family val="1"/>
    </font>
    <font>
      <b/>
      <sz val="10"/>
      <color theme="1"/>
      <name val="Book Antiqua"/>
      <family val="1"/>
    </font>
    <font>
      <b/>
      <sz val="10"/>
      <name val="Book Antiqua"/>
      <family val="1"/>
    </font>
    <font>
      <sz val="8"/>
      <color theme="1"/>
      <name val="Book Antiqua"/>
      <family val="1"/>
    </font>
    <font>
      <sz val="8"/>
      <color theme="1"/>
      <name val="Arial"/>
      <family val="2"/>
    </font>
    <font>
      <sz val="8"/>
      <color theme="1"/>
      <name val="Aptos Narrow"/>
      <family val="2"/>
      <scheme val="minor"/>
    </font>
    <font>
      <b/>
      <sz val="11"/>
      <name val="Book Antiqua"/>
      <family val="1"/>
    </font>
    <font>
      <b/>
      <sz val="11"/>
      <color rgb="FFFF0000"/>
      <name val="Book Antiqua"/>
      <family val="1"/>
    </font>
    <font>
      <sz val="12"/>
      <color theme="1"/>
      <name val="Tahoma"/>
      <family val="2"/>
    </font>
    <font>
      <b/>
      <sz val="13"/>
      <color theme="1"/>
      <name val="Book Antiqua"/>
      <family val="1"/>
    </font>
    <font>
      <b/>
      <sz val="18"/>
      <color theme="1"/>
      <name val="Book Antiqua"/>
      <family val="1"/>
    </font>
    <font>
      <b/>
      <sz val="14"/>
      <color rgb="FFFF0000"/>
      <name val="Book Antiqua"/>
      <family val="1"/>
    </font>
    <font>
      <sz val="12"/>
      <name val="Arial"/>
      <family val="2"/>
    </font>
    <font>
      <b/>
      <sz val="12"/>
      <name val="Arial"/>
      <family val="2"/>
    </font>
    <font>
      <sz val="11"/>
      <color theme="1"/>
      <name val="Arial"/>
      <family val="2"/>
    </font>
    <font>
      <b/>
      <sz val="11"/>
      <color rgb="FF000000"/>
      <name val="Aptos Narrow"/>
      <family val="2"/>
      <scheme val="minor"/>
    </font>
    <font>
      <b/>
      <sz val="12"/>
      <name val="Aptos Narrow"/>
      <family val="2"/>
      <scheme val="minor"/>
    </font>
    <font>
      <sz val="11"/>
      <color theme="9"/>
      <name val="Book Antiqua"/>
      <family val="1"/>
    </font>
    <font>
      <b/>
      <sz val="16"/>
      <name val="Book Antiqua"/>
      <family val="1"/>
    </font>
    <font>
      <sz val="11"/>
      <color indexed="8"/>
      <name val="Aptos Narrow"/>
      <family val="2"/>
      <scheme val="minor"/>
    </font>
    <font>
      <sz val="14"/>
      <name val="Book Antiqua"/>
      <family val="1"/>
    </font>
    <font>
      <b/>
      <sz val="13"/>
      <name val="Book Antiqua"/>
      <family val="1"/>
    </font>
    <font>
      <sz val="11"/>
      <color indexed="8"/>
      <name val="Book Antiqua"/>
      <family val="1"/>
    </font>
    <font>
      <b/>
      <sz val="10"/>
      <color theme="1"/>
      <name val="Arial"/>
      <family val="2"/>
    </font>
    <font>
      <sz val="10"/>
      <color theme="1"/>
      <name val="Arial"/>
      <family val="2"/>
    </font>
    <font>
      <sz val="11"/>
      <name val="Aptos Narrow"/>
      <family val="2"/>
      <scheme val="minor"/>
    </font>
    <font>
      <sz val="18"/>
      <color theme="1"/>
      <name val="Aptos Narrow"/>
      <family val="2"/>
      <scheme val="minor"/>
    </font>
    <font>
      <sz val="10"/>
      <color rgb="FF000000"/>
      <name val="Aptos Narrow"/>
      <family val="2"/>
    </font>
    <font>
      <sz val="11"/>
      <color rgb="FF000000"/>
      <name val="Aptos Narrow"/>
      <family val="2"/>
    </font>
    <font>
      <b/>
      <sz val="11"/>
      <color indexed="8"/>
      <name val="Book Antiqua"/>
      <family val="1"/>
    </font>
    <font>
      <sz val="12"/>
      <color theme="1"/>
      <name val="Aptos Narrow"/>
      <family val="2"/>
      <scheme val="minor"/>
    </font>
    <font>
      <b/>
      <sz val="18"/>
      <name val="Book Antiqua"/>
      <family val="1"/>
    </font>
    <font>
      <sz val="11"/>
      <color indexed="8"/>
      <name val="Calibri"/>
      <family val="2"/>
    </font>
    <font>
      <sz val="14"/>
      <color theme="1"/>
      <name val="Book Antiqua"/>
      <family val="1"/>
    </font>
    <font>
      <sz val="13"/>
      <name val="Book Antiqua"/>
      <family val="1"/>
    </font>
    <font>
      <b/>
      <sz val="11"/>
      <color rgb="FFFF0000"/>
      <name val="Aptos Narrow"/>
      <family val="2"/>
      <scheme val="minor"/>
    </font>
    <font>
      <sz val="13"/>
      <color theme="1"/>
      <name val="Book Antiqua"/>
      <family val="1"/>
    </font>
    <font>
      <sz val="11"/>
      <color theme="1"/>
      <name val="Aptos Display"/>
      <family val="2"/>
      <scheme val="major"/>
    </font>
    <font>
      <b/>
      <sz val="11"/>
      <color theme="1"/>
      <name val="Aptos Display"/>
      <family val="2"/>
      <scheme val="major"/>
    </font>
    <font>
      <sz val="10"/>
      <color rgb="FFFF0000"/>
      <name val="Book Antiqua"/>
      <family val="1"/>
    </font>
    <font>
      <b/>
      <sz val="18"/>
      <color rgb="FFFF0000"/>
      <name val="Book Antiqua"/>
      <family val="1"/>
    </font>
    <font>
      <sz val="12"/>
      <color theme="1"/>
      <name val="Century Gothic"/>
      <family val="2"/>
    </font>
    <font>
      <sz val="14"/>
      <color indexed="8"/>
      <name val="Times New Roman"/>
      <family val="1"/>
    </font>
    <font>
      <sz val="14"/>
      <color rgb="FF000000"/>
      <name val="Times New Roman"/>
      <family val="1"/>
    </font>
    <font>
      <sz val="14"/>
      <color theme="1"/>
      <name val="Times New Roman"/>
      <family val="1"/>
    </font>
    <font>
      <b/>
      <sz val="11"/>
      <name val="Aptos Display"/>
      <family val="2"/>
      <scheme val="major"/>
    </font>
    <font>
      <sz val="11"/>
      <name val="Aptos Display"/>
      <family val="2"/>
      <scheme val="major"/>
    </font>
    <font>
      <sz val="11"/>
      <color rgb="FFFF0000"/>
      <name val="Aptos Display"/>
      <family val="2"/>
      <scheme val="major"/>
    </font>
    <font>
      <b/>
      <sz val="14"/>
      <name val="Times New Roman"/>
      <family val="1"/>
    </font>
    <font>
      <sz val="12"/>
      <color indexed="8"/>
      <name val="Times New Roman"/>
      <family val="1"/>
    </font>
    <font>
      <b/>
      <sz val="12"/>
      <name val="Times New Roman"/>
      <family val="1"/>
    </font>
    <font>
      <sz val="10"/>
      <name val="Aptos Display"/>
      <family val="2"/>
      <scheme val="major"/>
    </font>
    <font>
      <sz val="10"/>
      <color rgb="FFFF0000"/>
      <name val="Aptos Display"/>
      <family val="2"/>
      <scheme val="major"/>
    </font>
    <font>
      <b/>
      <sz val="20"/>
      <color rgb="FFFF0000"/>
      <name val="Aptos Display"/>
      <family val="2"/>
      <scheme val="major"/>
    </font>
    <font>
      <b/>
      <sz val="12"/>
      <color theme="1"/>
      <name val="Times New Roman"/>
      <family val="1"/>
    </font>
    <font>
      <b/>
      <strike/>
      <sz val="11"/>
      <name val="Aptos Display"/>
      <family val="2"/>
      <scheme val="major"/>
    </font>
    <font>
      <sz val="11"/>
      <color indexed="8"/>
      <name val="Aptos Display"/>
      <family val="2"/>
      <scheme val="major"/>
    </font>
    <font>
      <b/>
      <sz val="11"/>
      <color indexed="8"/>
      <name val="Aptos Display"/>
      <family val="2"/>
      <scheme val="major"/>
    </font>
    <font>
      <b/>
      <strike/>
      <sz val="11"/>
      <color theme="1"/>
      <name val="Aptos Display"/>
      <family val="2"/>
      <scheme val="major"/>
    </font>
    <font>
      <sz val="28"/>
      <color theme="1"/>
      <name val="Aptos Display"/>
      <family val="2"/>
      <scheme val="major"/>
    </font>
    <font>
      <sz val="12"/>
      <color rgb="FF000000"/>
      <name val="Times New Roman"/>
      <family val="1"/>
    </font>
    <font>
      <sz val="12"/>
      <color theme="1"/>
      <name val="Times New Roman"/>
      <family val="1"/>
    </font>
    <font>
      <b/>
      <sz val="11"/>
      <color rgb="FFFF0000"/>
      <name val="Aptos Display"/>
      <family val="2"/>
      <scheme val="major"/>
    </font>
    <font>
      <sz val="14"/>
      <color indexed="8"/>
      <name val="Aptos Display"/>
      <family val="2"/>
      <scheme val="major"/>
    </font>
    <font>
      <sz val="10"/>
      <color indexed="8"/>
      <name val="Book Antiqua"/>
      <family val="1"/>
    </font>
    <font>
      <b/>
      <sz val="16"/>
      <color theme="0"/>
      <name val="Book Antiqua"/>
      <family val="1"/>
    </font>
    <font>
      <b/>
      <u/>
      <sz val="16"/>
      <color theme="1"/>
      <name val="Times New Roman"/>
      <family val="1"/>
    </font>
    <font>
      <sz val="11"/>
      <color theme="1"/>
      <name val="Times New Roman"/>
      <family val="1"/>
    </font>
    <font>
      <sz val="11"/>
      <color theme="3"/>
      <name val="Book Antiqua"/>
      <family val="1"/>
    </font>
    <font>
      <sz val="14"/>
      <color indexed="8"/>
      <name val="Book Antiqua"/>
      <family val="1"/>
    </font>
    <font>
      <b/>
      <sz val="11"/>
      <color rgb="FFC00000"/>
      <name val="Book Antiqua"/>
      <family val="1"/>
    </font>
    <font>
      <u/>
      <sz val="11"/>
      <color indexed="12"/>
      <name val="Book Antiqua"/>
      <family val="1"/>
    </font>
    <font>
      <sz val="10"/>
      <color indexed="8"/>
      <name val="Arial"/>
      <family val="2"/>
    </font>
    <font>
      <sz val="10"/>
      <name val="Courier"/>
      <family val="3"/>
    </font>
    <font>
      <b/>
      <sz val="11"/>
      <color indexed="8"/>
      <name val="Aptos Narrow"/>
      <family val="2"/>
      <scheme val="minor"/>
    </font>
    <font>
      <b/>
      <sz val="11"/>
      <name val="Aptos Narrow"/>
      <family val="2"/>
      <scheme val="minor"/>
    </font>
    <font>
      <sz val="12"/>
      <color theme="1"/>
      <name val="Arial"/>
      <family val="2"/>
    </font>
    <font>
      <sz val="12"/>
      <color theme="0"/>
      <name val="Book Antiqua"/>
      <family val="1"/>
    </font>
    <font>
      <b/>
      <sz val="18"/>
      <color indexed="8"/>
      <name val="Aptos Narrow"/>
      <family val="2"/>
      <scheme val="minor"/>
    </font>
    <font>
      <b/>
      <sz val="11"/>
      <color rgb="FFC00000"/>
      <name val="Aptos Narrow"/>
      <family val="2"/>
      <scheme val="minor"/>
    </font>
    <font>
      <u/>
      <sz val="11"/>
      <color indexed="12"/>
      <name val="Aptos Narrow"/>
      <family val="2"/>
      <scheme val="minor"/>
    </font>
    <font>
      <u/>
      <sz val="12"/>
      <color indexed="12"/>
      <name val="Book Antiqua"/>
      <family val="1"/>
    </font>
    <font>
      <u/>
      <sz val="12"/>
      <name val="Book Antiqua"/>
      <family val="1"/>
    </font>
    <font>
      <b/>
      <sz val="12"/>
      <color theme="0"/>
      <name val="Arial"/>
      <family val="2"/>
    </font>
    <font>
      <b/>
      <vertAlign val="superscript"/>
      <sz val="12"/>
      <name val="Book Antiqua"/>
      <family val="1"/>
    </font>
    <font>
      <b/>
      <sz val="20"/>
      <color theme="1"/>
      <name val="Book Antiqua"/>
      <family val="1"/>
    </font>
    <font>
      <sz val="18"/>
      <name val="Book Antiqua"/>
      <family val="1"/>
    </font>
    <font>
      <b/>
      <sz val="20"/>
      <name val="Book Antiqua"/>
      <family val="1"/>
    </font>
    <font>
      <sz val="20"/>
      <name val="Book Antiqua"/>
      <family val="1"/>
    </font>
    <font>
      <strike/>
      <sz val="14"/>
      <name val="Book Antiqua"/>
      <family val="1"/>
    </font>
    <font>
      <b/>
      <vertAlign val="superscript"/>
      <sz val="14"/>
      <name val="Book Antiqua"/>
      <family val="1"/>
    </font>
    <font>
      <sz val="16"/>
      <name val="Book Antiqua"/>
      <family val="1"/>
    </font>
    <font>
      <sz val="16"/>
      <color theme="1"/>
      <name val="Book Antiqua"/>
      <family val="1"/>
    </font>
    <font>
      <sz val="20"/>
      <color theme="1"/>
      <name val="Book Antiqua"/>
      <family val="1"/>
    </font>
    <font>
      <sz val="16"/>
      <color indexed="8"/>
      <name val="Book Antiqua"/>
      <family val="1"/>
    </font>
    <font>
      <sz val="24"/>
      <name val="Book Antiqua"/>
      <family val="1"/>
    </font>
    <font>
      <vertAlign val="superscript"/>
      <sz val="24"/>
      <name val="Book Antiqua"/>
      <family val="1"/>
    </font>
    <font>
      <b/>
      <sz val="24"/>
      <name val="Book Antiqua"/>
      <family val="1"/>
    </font>
    <font>
      <sz val="18"/>
      <color theme="1"/>
      <name val="Book Antiqua"/>
      <family val="1"/>
    </font>
    <font>
      <sz val="8"/>
      <name val="Aptos Narrow"/>
      <family val="2"/>
      <scheme val="minor"/>
    </font>
    <font>
      <u/>
      <sz val="11"/>
      <name val="Aptos Narrow"/>
      <family val="2"/>
      <scheme val="minor"/>
    </font>
    <font>
      <sz val="11"/>
      <color theme="9"/>
      <name val="Aptos Narrow"/>
      <family val="2"/>
      <scheme val="minor"/>
    </font>
    <font>
      <sz val="26"/>
      <color rgb="FFFF0000"/>
      <name val="Book Antiqua"/>
      <family val="1"/>
    </font>
    <font>
      <b/>
      <sz val="12"/>
      <color rgb="FF383336"/>
      <name val="Calibri"/>
      <family val="2"/>
    </font>
    <font>
      <sz val="24"/>
      <color theme="1"/>
      <name val="Book Antiqua"/>
      <family val="1"/>
    </font>
    <font>
      <b/>
      <sz val="24"/>
      <color theme="1"/>
      <name val="Book Antiqua"/>
      <family val="1"/>
    </font>
    <font>
      <sz val="22"/>
      <color theme="1"/>
      <name val="Book Antiqua"/>
      <family val="1"/>
    </font>
    <font>
      <b/>
      <sz val="16"/>
      <color indexed="8"/>
      <name val="Book Antiqua"/>
      <family val="1"/>
    </font>
    <font>
      <b/>
      <sz val="8"/>
      <name val="Aptos Narrow"/>
      <family val="2"/>
      <scheme val="minor"/>
    </font>
    <font>
      <b/>
      <sz val="16"/>
      <color rgb="FFFF0000"/>
      <name val="Book Antiqua"/>
      <family val="1"/>
    </font>
    <font>
      <sz val="16"/>
      <color rgb="FFFF0000"/>
      <name val="Book Antiqua"/>
      <family val="1"/>
    </font>
    <font>
      <b/>
      <sz val="10"/>
      <color rgb="FFFF0000"/>
      <name val="Book Antiqua"/>
      <family val="1"/>
    </font>
    <font>
      <b/>
      <vertAlign val="superscript"/>
      <sz val="12"/>
      <color theme="1"/>
      <name val="Book Antiqua"/>
      <family val="1"/>
    </font>
    <font>
      <b/>
      <sz val="12"/>
      <color theme="1"/>
      <name val="Aptos Narrow"/>
      <family val="2"/>
      <scheme val="minor"/>
    </font>
    <font>
      <b/>
      <sz val="22"/>
      <color theme="1"/>
      <name val="Book Antiqua"/>
      <family val="1"/>
    </font>
    <font>
      <sz val="16"/>
      <color rgb="FFFFC000"/>
      <name val="Book Antiqua"/>
      <family val="1"/>
    </font>
    <font>
      <sz val="11"/>
      <color rgb="FF000000"/>
      <name val="Book Antiqua"/>
      <family val="1"/>
    </font>
    <font>
      <u/>
      <sz val="12"/>
      <color theme="1"/>
      <name val="Book Antiqua"/>
      <family val="1"/>
    </font>
    <font>
      <b/>
      <vertAlign val="superscript"/>
      <sz val="11"/>
      <color theme="1"/>
      <name val="Book Antiqua"/>
      <family val="1"/>
    </font>
    <font>
      <vertAlign val="superscript"/>
      <sz val="10"/>
      <color theme="1"/>
      <name val="Book Antiqua"/>
      <family val="1"/>
    </font>
    <font>
      <i/>
      <sz val="10"/>
      <color theme="1"/>
      <name val="Aptos"/>
      <family val="2"/>
    </font>
    <font>
      <u/>
      <sz val="11"/>
      <color theme="1"/>
      <name val="Aptos Narrow"/>
      <family val="2"/>
      <scheme val="minor"/>
    </font>
    <font>
      <sz val="16"/>
      <color theme="1"/>
      <name val="Aptos Narrow"/>
      <family val="2"/>
      <scheme val="minor"/>
    </font>
    <font>
      <b/>
      <sz val="16"/>
      <color theme="1"/>
      <name val="Aptos Narrow"/>
      <family val="2"/>
      <scheme val="minor"/>
    </font>
    <font>
      <sz val="16"/>
      <color rgb="FF000000"/>
      <name val="Aptos Narrow"/>
      <family val="2"/>
      <scheme val="minor"/>
    </font>
    <font>
      <sz val="16"/>
      <name val="Aptos Narrow"/>
      <family val="2"/>
      <scheme val="minor"/>
    </font>
    <font>
      <sz val="11"/>
      <name val="Calibri"/>
      <family val="2"/>
    </font>
    <font>
      <b/>
      <sz val="28"/>
      <name val="Book Antiqua"/>
      <family val="1"/>
    </font>
    <font>
      <b/>
      <sz val="11"/>
      <color rgb="FF000000"/>
      <name val="Aptos"/>
      <family val="2"/>
    </font>
    <font>
      <b/>
      <sz val="12"/>
      <color rgb="FF373435"/>
      <name val="Book Antiqua"/>
      <family val="1"/>
    </font>
    <font>
      <sz val="14"/>
      <color theme="9" tint="-0.499984740745262"/>
      <name val="Book Antiqua"/>
      <family val="1"/>
    </font>
    <font>
      <b/>
      <sz val="14"/>
      <color theme="9" tint="-0.499984740745262"/>
      <name val="Book Antiqua"/>
      <family val="1"/>
    </font>
    <font>
      <sz val="12"/>
      <color rgb="FF000000"/>
      <name val="Book Antiqua"/>
      <family val="1"/>
    </font>
    <font>
      <sz val="12"/>
      <color rgb="FFC00000"/>
      <name val="Book Antiqua"/>
      <family val="1"/>
    </font>
    <font>
      <sz val="12"/>
      <color theme="1"/>
      <name val="Aptos"/>
      <family val="2"/>
    </font>
    <font>
      <b/>
      <sz val="12"/>
      <color theme="1"/>
      <name val="Aptos"/>
      <family val="2"/>
    </font>
    <font>
      <sz val="14"/>
      <color theme="1"/>
      <name val="Aptos Narrow"/>
      <family val="2"/>
      <scheme val="minor"/>
    </font>
    <font>
      <b/>
      <sz val="14"/>
      <color theme="1"/>
      <name val="Aptos Narrow"/>
      <family val="2"/>
      <scheme val="minor"/>
    </font>
    <font>
      <sz val="10"/>
      <color rgb="FFFF0000"/>
      <name val="Times New Roman"/>
      <family val="1"/>
    </font>
    <font>
      <sz val="18"/>
      <color rgb="FFFF0000"/>
      <name val="Book Antiqua"/>
      <family val="1"/>
    </font>
    <font>
      <sz val="24"/>
      <color rgb="FFFF0000"/>
      <name val="Book Antiqua"/>
      <family val="1"/>
    </font>
    <font>
      <sz val="10"/>
      <color theme="1"/>
      <name val="Aptos Narrow"/>
      <family val="2"/>
      <scheme val="minor"/>
    </font>
    <font>
      <sz val="10"/>
      <name val="Calibri"/>
      <family val="2"/>
    </font>
    <font>
      <sz val="24"/>
      <name val="Calibri"/>
      <family val="2"/>
    </font>
    <font>
      <b/>
      <sz val="9"/>
      <color rgb="FF000000"/>
      <name val="Arial"/>
      <family val="2"/>
    </font>
    <font>
      <b/>
      <sz val="8"/>
      <color theme="1"/>
      <name val="Book Antiqua"/>
      <family val="1"/>
    </font>
    <font>
      <b/>
      <sz val="11"/>
      <name val="Arial"/>
      <family val="2"/>
    </font>
    <font>
      <b/>
      <sz val="8"/>
      <name val="Book Antiqua"/>
      <family val="1"/>
    </font>
    <font>
      <sz val="11"/>
      <name val="Times New Roman"/>
      <family val="1"/>
    </font>
    <font>
      <sz val="12"/>
      <name val="Times New Roman"/>
      <family val="1"/>
    </font>
    <font>
      <sz val="12"/>
      <color theme="1"/>
      <name val="Wingdings"/>
      <charset val="2"/>
    </font>
    <font>
      <sz val="11"/>
      <color theme="1"/>
      <name val="Aptos"/>
      <family val="2"/>
    </font>
    <font>
      <b/>
      <sz val="11"/>
      <color theme="1"/>
      <name val="Aptos"/>
      <family val="2"/>
    </font>
    <font>
      <b/>
      <sz val="11"/>
      <name val="Aptos"/>
      <family val="2"/>
    </font>
    <font>
      <sz val="12"/>
      <name val="Wingdings"/>
      <charset val="2"/>
    </font>
    <font>
      <b/>
      <sz val="11"/>
      <name val="Times New Roman"/>
      <family val="1"/>
    </font>
    <font>
      <b/>
      <sz val="10"/>
      <color theme="1"/>
      <name val="Times New Roman"/>
      <family val="1"/>
    </font>
    <font>
      <sz val="10"/>
      <color theme="1"/>
      <name val="Times New Roman"/>
      <family val="1"/>
    </font>
    <font>
      <vertAlign val="superscript"/>
      <sz val="20"/>
      <name val="Book Antiqua"/>
      <family val="1"/>
    </font>
    <font>
      <b/>
      <sz val="11"/>
      <color theme="9" tint="-0.249977111117893"/>
      <name val="Book Antiqua"/>
      <family val="1"/>
    </font>
    <font>
      <sz val="11"/>
      <color theme="9" tint="-0.249977111117893"/>
      <name val="Book Antiqua"/>
      <family val="1"/>
    </font>
    <font>
      <b/>
      <sz val="11"/>
      <color rgb="FF000000"/>
      <name val="Book Antiqua"/>
      <family val="1"/>
    </font>
    <font>
      <b/>
      <sz val="10.5"/>
      <name val="Book Antiqua"/>
      <family val="1"/>
    </font>
    <font>
      <sz val="10.5"/>
      <name val="Book Antiqua"/>
      <family val="1"/>
    </font>
    <font>
      <b/>
      <sz val="9"/>
      <color theme="1"/>
      <name val="Book Antiqua"/>
      <family val="1"/>
    </font>
    <font>
      <b/>
      <sz val="9"/>
      <name val="Book Antiqua"/>
      <family val="1"/>
    </font>
    <font>
      <b/>
      <sz val="18"/>
      <name val="Aptos Narrow"/>
      <family val="2"/>
      <scheme val="minor"/>
    </font>
    <font>
      <sz val="9"/>
      <color theme="1"/>
      <name val="Book Antiqua"/>
      <family val="1"/>
    </font>
    <font>
      <sz val="9"/>
      <name val="Book Antiqua"/>
      <family val="1"/>
    </font>
    <font>
      <sz val="9"/>
      <color theme="1"/>
      <name val="Aptos Narrow"/>
      <family val="2"/>
      <scheme val="minor"/>
    </font>
    <font>
      <sz val="18"/>
      <name val="Calibri"/>
      <family val="2"/>
    </font>
    <font>
      <b/>
      <sz val="11"/>
      <color theme="0"/>
      <name val="Aptos Narrow"/>
      <family val="2"/>
      <scheme val="minor"/>
    </font>
    <font>
      <b/>
      <sz val="14"/>
      <color theme="0"/>
      <name val="Times New Roman"/>
      <family val="1"/>
    </font>
    <font>
      <sz val="11"/>
      <color rgb="FF000000"/>
      <name val="Aptos Narrow"/>
      <family val="2"/>
      <scheme val="minor"/>
    </font>
    <font>
      <i/>
      <sz val="11"/>
      <name val="Aptos Narrow"/>
      <family val="2"/>
      <scheme val="minor"/>
    </font>
    <font>
      <b/>
      <vertAlign val="superscript"/>
      <sz val="11"/>
      <name val="Aptos Narrow"/>
      <family val="2"/>
      <scheme val="minor"/>
    </font>
    <font>
      <sz val="11"/>
      <color rgb="FF040C28"/>
      <name val="Aptos Narrow"/>
      <family val="2"/>
      <scheme val="minor"/>
    </font>
    <font>
      <b/>
      <i/>
      <sz val="11"/>
      <name val="Aptos Narrow"/>
      <family val="2"/>
      <scheme val="minor"/>
    </font>
    <font>
      <b/>
      <sz val="14"/>
      <name val="Aptos Narrow"/>
      <family val="2"/>
      <scheme val="minor"/>
    </font>
    <font>
      <sz val="10"/>
      <name val="Times New Roman"/>
      <family val="1"/>
    </font>
    <font>
      <b/>
      <sz val="16"/>
      <name val="Aptos Narrow"/>
      <family val="2"/>
      <scheme val="minor"/>
    </font>
    <font>
      <sz val="12"/>
      <color rgb="FF000000"/>
      <name val="Aptos"/>
      <family val="2"/>
    </font>
    <font>
      <sz val="12"/>
      <color theme="1"/>
      <name val="Calibri"/>
      <family val="2"/>
    </font>
    <font>
      <b/>
      <sz val="13"/>
      <color theme="0"/>
      <name val="Book Antiqua"/>
      <family val="1"/>
    </font>
    <font>
      <b/>
      <sz val="11"/>
      <name val="Calibri"/>
      <family val="2"/>
    </font>
    <font>
      <sz val="11"/>
      <name val="Aptos"/>
      <family val="2"/>
    </font>
    <font>
      <b/>
      <sz val="16"/>
      <color indexed="8"/>
      <name val="Aptos Narrow"/>
      <family val="2"/>
      <scheme val="minor"/>
    </font>
    <font>
      <sz val="12"/>
      <name val="Aptos Narrow"/>
      <family val="2"/>
      <scheme val="minor"/>
    </font>
    <font>
      <sz val="12"/>
      <color rgb="FF383336"/>
      <name val="Book Antiqua"/>
      <family val="1"/>
    </font>
    <font>
      <i/>
      <sz val="11"/>
      <color theme="1"/>
      <name val="Aptos Narrow"/>
      <family val="2"/>
      <scheme val="minor"/>
    </font>
    <font>
      <sz val="8"/>
      <name val="Book Antiqua"/>
      <family val="1"/>
    </font>
  </fonts>
  <fills count="26">
    <fill>
      <patternFill patternType="none"/>
    </fill>
    <fill>
      <patternFill patternType="gray125"/>
    </fill>
    <fill>
      <patternFill patternType="solid">
        <fgColor rgb="FFFFFF00"/>
        <bgColor indexed="64"/>
      </patternFill>
    </fill>
    <fill>
      <patternFill patternType="solid">
        <fgColor rgb="FF92D050"/>
        <bgColor indexed="64"/>
      </patternFill>
    </fill>
    <fill>
      <patternFill patternType="solid">
        <fgColor rgb="FFC1A4F6"/>
        <bgColor indexed="64"/>
      </patternFill>
    </fill>
    <fill>
      <patternFill patternType="solid">
        <fgColor theme="0"/>
        <bgColor indexed="64"/>
      </patternFill>
    </fill>
    <fill>
      <patternFill patternType="solid">
        <fgColor theme="6" tint="0.39997558519241921"/>
        <bgColor indexed="64"/>
      </patternFill>
    </fill>
    <fill>
      <patternFill patternType="solid">
        <fgColor theme="0" tint="-0.14999847407452621"/>
        <bgColor indexed="64"/>
      </patternFill>
    </fill>
    <fill>
      <patternFill patternType="solid">
        <fgColor theme="5" tint="0.79998168889431442"/>
        <bgColor indexed="64"/>
      </patternFill>
    </fill>
    <fill>
      <patternFill patternType="solid">
        <fgColor theme="5" tint="0.59999389629810485"/>
        <bgColor indexed="64"/>
      </patternFill>
    </fill>
    <fill>
      <patternFill patternType="solid">
        <fgColor theme="0" tint="-4.9989318521683403E-2"/>
        <bgColor indexed="64"/>
      </patternFill>
    </fill>
    <fill>
      <patternFill patternType="solid">
        <fgColor rgb="FFFFFFFF"/>
        <bgColor indexed="64"/>
      </patternFill>
    </fill>
    <fill>
      <patternFill patternType="solid">
        <fgColor theme="7" tint="0.79998168889431442"/>
        <bgColor indexed="64"/>
      </patternFill>
    </fill>
    <fill>
      <patternFill patternType="solid">
        <fgColor theme="4" tint="0.79998168889431442"/>
        <bgColor theme="4" tint="0.79998168889431442"/>
      </patternFill>
    </fill>
    <fill>
      <patternFill patternType="solid">
        <fgColor rgb="FFFFF2CC"/>
        <bgColor indexed="64"/>
      </patternFill>
    </fill>
    <fill>
      <patternFill patternType="solid">
        <fgColor theme="6" tint="0.79998168889431442"/>
        <bgColor indexed="64"/>
      </patternFill>
    </fill>
    <fill>
      <patternFill patternType="solid">
        <fgColor rgb="FFD6AFF7"/>
        <bgColor indexed="64"/>
      </patternFill>
    </fill>
    <fill>
      <patternFill patternType="solid">
        <fgColor rgb="FFF6DDFF"/>
        <bgColor indexed="64"/>
      </patternFill>
    </fill>
    <fill>
      <patternFill patternType="solid">
        <fgColor theme="5" tint="0.79989013336588644"/>
        <bgColor indexed="64"/>
      </patternFill>
    </fill>
    <fill>
      <patternFill patternType="solid">
        <fgColor theme="9" tint="0.79998168889431442"/>
        <bgColor indexed="64"/>
      </patternFill>
    </fill>
    <fill>
      <patternFill patternType="solid">
        <fgColor rgb="FFEEDC54"/>
        <bgColor indexed="64"/>
      </patternFill>
    </fill>
    <fill>
      <patternFill patternType="solid">
        <fgColor theme="6"/>
        <bgColor theme="4"/>
      </patternFill>
    </fill>
    <fill>
      <patternFill patternType="solid">
        <fgColor theme="7"/>
        <bgColor rgb="FF000000"/>
      </patternFill>
    </fill>
    <fill>
      <patternFill patternType="solid">
        <fgColor theme="7"/>
        <bgColor indexed="64"/>
      </patternFill>
    </fill>
    <fill>
      <patternFill patternType="solid">
        <fgColor rgb="FFF9EED7"/>
        <bgColor indexed="64"/>
      </patternFill>
    </fill>
    <fill>
      <patternFill patternType="solid">
        <fgColor theme="0"/>
        <bgColor theme="4"/>
      </patternFill>
    </fill>
  </fills>
  <borders count="87">
    <border>
      <left/>
      <right/>
      <top/>
      <bottom/>
      <diagonal/>
    </border>
    <border>
      <left style="thin">
        <color indexed="64"/>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style="thin">
        <color indexed="64"/>
      </left>
      <right/>
      <top/>
      <bottom style="thin">
        <color indexed="64"/>
      </bottom>
      <diagonal/>
    </border>
    <border>
      <left/>
      <right/>
      <top style="thin">
        <color indexed="64"/>
      </top>
      <bottom/>
      <diagonal/>
    </border>
    <border>
      <left/>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medium">
        <color indexed="64"/>
      </right>
      <top style="thin">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bottom style="thin">
        <color indexed="64"/>
      </bottom>
      <diagonal/>
    </border>
    <border>
      <left style="thin">
        <color theme="9" tint="-0.499984740745262"/>
      </left>
      <right style="thin">
        <color theme="9" tint="-0.499984740745262"/>
      </right>
      <top style="thin">
        <color theme="9" tint="-0.499984740745262"/>
      </top>
      <bottom style="thin">
        <color theme="9" tint="-0.499984740745262"/>
      </bottom>
      <diagonal/>
    </border>
    <border>
      <left style="thin">
        <color theme="9" tint="-0.499984740745262"/>
      </left>
      <right style="thin">
        <color theme="9" tint="-0.499984740745262"/>
      </right>
      <top style="thin">
        <color theme="9" tint="-0.499984740745262"/>
      </top>
      <bottom/>
      <diagonal/>
    </border>
    <border>
      <left style="thin">
        <color theme="9" tint="-0.499984740745262"/>
      </left>
      <right/>
      <top style="thin">
        <color theme="9" tint="-0.499984740745262"/>
      </top>
      <bottom style="thin">
        <color theme="9" tint="-0.499984740745262"/>
      </bottom>
      <diagonal/>
    </border>
    <border>
      <left/>
      <right/>
      <top style="thin">
        <color theme="9" tint="-0.499984740745262"/>
      </top>
      <bottom style="thin">
        <color theme="9" tint="-0.499984740745262"/>
      </bottom>
      <diagonal/>
    </border>
    <border>
      <left/>
      <right style="thin">
        <color theme="9" tint="-0.499984740745262"/>
      </right>
      <top style="thin">
        <color theme="9" tint="-0.499984740745262"/>
      </top>
      <bottom style="thin">
        <color theme="9" tint="-0.499984740745262"/>
      </bottom>
      <diagonal/>
    </border>
    <border>
      <left style="thin">
        <color indexed="64"/>
      </left>
      <right style="thin">
        <color indexed="64"/>
      </right>
      <top style="thin">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medium">
        <color indexed="64"/>
      </right>
      <top style="thin">
        <color indexed="64"/>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thin">
        <color indexed="64"/>
      </top>
      <bottom/>
      <diagonal/>
    </border>
    <border>
      <left style="thin">
        <color indexed="64"/>
      </left>
      <right style="medium">
        <color indexed="64"/>
      </right>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right/>
      <top/>
      <bottom style="thin">
        <color theme="9" tint="-0.499984740745262"/>
      </bottom>
      <diagonal/>
    </border>
    <border>
      <left style="thin">
        <color theme="9" tint="-0.499984740745262"/>
      </left>
      <right style="thin">
        <color theme="9" tint="-0.499984740745262"/>
      </right>
      <top style="thin">
        <color indexed="64"/>
      </top>
      <bottom/>
      <diagonal/>
    </border>
    <border>
      <left style="thin">
        <color theme="9" tint="-0.499984740745262"/>
      </left>
      <right style="thin">
        <color theme="9" tint="-0.499984740745262"/>
      </right>
      <top style="thin">
        <color indexed="64"/>
      </top>
      <bottom style="thin">
        <color indexed="64"/>
      </bottom>
      <diagonal/>
    </border>
    <border>
      <left style="thin">
        <color theme="9" tint="-0.499984740745262"/>
      </left>
      <right/>
      <top style="thin">
        <color indexed="64"/>
      </top>
      <bottom style="thin">
        <color indexed="64"/>
      </bottom>
      <diagonal/>
    </border>
    <border>
      <left style="thin">
        <color theme="9" tint="-0.499984740745262"/>
      </left>
      <right style="thin">
        <color indexed="64"/>
      </right>
      <top style="thin">
        <color indexed="64"/>
      </top>
      <bottom style="thin">
        <color indexed="64"/>
      </bottom>
      <diagonal/>
    </border>
    <border>
      <left style="thin">
        <color theme="9" tint="-0.499984740745262"/>
      </left>
      <right style="medium">
        <color indexed="64"/>
      </right>
      <top style="thin">
        <color theme="9" tint="-0.499984740745262"/>
      </top>
      <bottom style="thin">
        <color theme="9" tint="-0.499984740745262"/>
      </bottom>
      <diagonal/>
    </border>
    <border>
      <left style="medium">
        <color indexed="64"/>
      </left>
      <right style="thin">
        <color theme="9" tint="-0.499984740745262"/>
      </right>
      <top style="thin">
        <color theme="9" tint="-0.499984740745262"/>
      </top>
      <bottom style="thin">
        <color theme="9" tint="-0.499984740745262"/>
      </bottom>
      <diagonal/>
    </border>
    <border>
      <left style="thin">
        <color indexed="64"/>
      </left>
      <right style="medium">
        <color indexed="64"/>
      </right>
      <top/>
      <bottom/>
      <diagonal/>
    </border>
    <border>
      <left style="medium">
        <color indexed="64"/>
      </left>
      <right style="thin">
        <color indexed="64"/>
      </right>
      <top/>
      <bottom/>
      <diagonal/>
    </border>
    <border>
      <left style="thin">
        <color indexed="64"/>
      </left>
      <right style="thin">
        <color theme="9" tint="-0.499984740745262"/>
      </right>
      <top style="thin">
        <color indexed="64"/>
      </top>
      <bottom/>
      <diagonal/>
    </border>
    <border>
      <left style="thin">
        <color theme="9" tint="-0.499984740745262"/>
      </left>
      <right style="thin">
        <color indexed="64"/>
      </right>
      <top style="thin">
        <color theme="9" tint="-0.499984740745262"/>
      </top>
      <bottom style="thin">
        <color theme="9" tint="-0.499984740745262"/>
      </bottom>
      <diagonal/>
    </border>
    <border>
      <left style="thin">
        <color indexed="64"/>
      </left>
      <right style="thin">
        <color theme="9" tint="-0.499984740745262"/>
      </right>
      <top style="thin">
        <color indexed="64"/>
      </top>
      <bottom style="thin">
        <color indexed="64"/>
      </bottom>
      <diagonal/>
    </border>
    <border>
      <left style="thin">
        <color theme="9" tint="-0.499984740745262"/>
      </left>
      <right/>
      <top style="thin">
        <color theme="9" tint="-0.499984740745262"/>
      </top>
      <bottom style="thin">
        <color indexed="64"/>
      </bottom>
      <diagonal/>
    </border>
    <border>
      <left/>
      <right style="thin">
        <color theme="9" tint="-0.499984740745262"/>
      </right>
      <top style="thin">
        <color theme="9" tint="-0.499984740745262"/>
      </top>
      <bottom style="thin">
        <color indexed="64"/>
      </bottom>
      <diagonal/>
    </border>
    <border>
      <left style="thin">
        <color theme="9" tint="-0.499984740745262"/>
      </left>
      <right style="thin">
        <color theme="9" tint="-0.499984740745262"/>
      </right>
      <top/>
      <bottom/>
      <diagonal/>
    </border>
    <border>
      <left style="thin">
        <color theme="9" tint="-0.499984740745262"/>
      </left>
      <right style="thin">
        <color theme="9" tint="-0.499984740745262"/>
      </right>
      <top/>
      <bottom style="thin">
        <color theme="9" tint="-0.499984740745262"/>
      </bottom>
      <diagonal/>
    </border>
    <border>
      <left style="medium">
        <color rgb="FFFFFFFF"/>
      </left>
      <right style="medium">
        <color rgb="FFFFFFFF"/>
      </right>
      <top style="medium">
        <color rgb="FFFFFFFF"/>
      </top>
      <bottom style="thick">
        <color rgb="FFFFFFFF"/>
      </bottom>
      <diagonal/>
    </border>
    <border>
      <left style="medium">
        <color indexed="64"/>
      </left>
      <right style="medium">
        <color indexed="64"/>
      </right>
      <top style="medium">
        <color indexed="64"/>
      </top>
      <bottom style="medium">
        <color indexed="64"/>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thin">
        <color theme="9" tint="-0.499984740745262"/>
      </left>
      <right style="thin">
        <color indexed="64"/>
      </right>
      <top style="thin">
        <color theme="9" tint="-0.499984740745262"/>
      </top>
      <bottom/>
      <diagonal/>
    </border>
    <border>
      <left style="thin">
        <color theme="9" tint="-0.499984740745262"/>
      </left>
      <right style="thin">
        <color indexed="64"/>
      </right>
      <top/>
      <bottom/>
      <diagonal/>
    </border>
    <border>
      <left style="thin">
        <color rgb="FFC1C1C1"/>
      </left>
      <right style="thin">
        <color rgb="FFC1C1C1"/>
      </right>
      <top style="thin">
        <color rgb="FFC1C1C1"/>
      </top>
      <bottom style="thin">
        <color rgb="FFC1C1C1"/>
      </bottom>
      <diagonal/>
    </border>
  </borders>
  <cellStyleXfs count="85">
    <xf numFmtId="0" fontId="0" fillId="0" borderId="0"/>
    <xf numFmtId="9" fontId="1" fillId="0" borderId="0" applyFont="0" applyFill="0" applyBorder="0" applyAlignment="0" applyProtection="0"/>
    <xf numFmtId="0" fontId="5" fillId="0" borderId="0" applyNumberFormat="0" applyFill="0" applyBorder="0" applyAlignment="0" applyProtection="0"/>
    <xf numFmtId="0" fontId="8" fillId="0" borderId="0"/>
    <xf numFmtId="0" fontId="8" fillId="0" borderId="0"/>
    <xf numFmtId="0" fontId="17" fillId="0" borderId="0" applyNumberFormat="0" applyFill="0" applyBorder="0" applyAlignment="0" applyProtection="0">
      <alignment vertical="top"/>
      <protection locked="0"/>
    </xf>
    <xf numFmtId="165" fontId="1" fillId="0" borderId="0" applyFont="0" applyFill="0" applyBorder="0" applyAlignment="0" applyProtection="0"/>
    <xf numFmtId="9" fontId="8" fillId="0" borderId="0" applyFont="0" applyFill="0" applyBorder="0" applyAlignment="0" applyProtection="0"/>
    <xf numFmtId="0" fontId="8" fillId="0" borderId="0"/>
    <xf numFmtId="43" fontId="1" fillId="0" borderId="0" applyFont="0" applyFill="0" applyBorder="0" applyAlignment="0" applyProtection="0"/>
    <xf numFmtId="0" fontId="29" fillId="0" borderId="0" applyFill="0" applyBorder="0"/>
    <xf numFmtId="0" fontId="29" fillId="0" borderId="0" applyFill="0" applyBorder="0"/>
    <xf numFmtId="0" fontId="1" fillId="0" borderId="0"/>
    <xf numFmtId="0" fontId="46" fillId="0" borderId="0"/>
    <xf numFmtId="0" fontId="29" fillId="0" borderId="0" applyFill="0" applyBorder="0"/>
    <xf numFmtId="0" fontId="29" fillId="0" borderId="0" applyFill="0" applyBorder="0"/>
    <xf numFmtId="0" fontId="1" fillId="0" borderId="0"/>
    <xf numFmtId="0" fontId="8" fillId="0" borderId="0"/>
    <xf numFmtId="0" fontId="8" fillId="0" borderId="0"/>
    <xf numFmtId="0" fontId="57" fillId="0" borderId="0"/>
    <xf numFmtId="0" fontId="8" fillId="0" borderId="0"/>
    <xf numFmtId="0" fontId="8" fillId="0" borderId="0"/>
    <xf numFmtId="0" fontId="8" fillId="0" borderId="0"/>
    <xf numFmtId="0" fontId="8" fillId="0" borderId="0"/>
    <xf numFmtId="0" fontId="8" fillId="0" borderId="0"/>
    <xf numFmtId="0" fontId="1" fillId="0" borderId="0"/>
    <xf numFmtId="9" fontId="70" fillId="0" borderId="0" applyFont="0" applyFill="0" applyBorder="0" applyAlignment="0" applyProtection="0"/>
    <xf numFmtId="0" fontId="46" fillId="0" borderId="0"/>
    <xf numFmtId="0" fontId="52" fillId="0" borderId="0"/>
    <xf numFmtId="43" fontId="1" fillId="0" borderId="0" applyFont="0" applyFill="0" applyBorder="0" applyAlignment="0" applyProtection="0"/>
    <xf numFmtId="0" fontId="8" fillId="0" borderId="0"/>
    <xf numFmtId="0" fontId="1" fillId="0" borderId="0"/>
    <xf numFmtId="0" fontId="17" fillId="0" borderId="0" applyNumberFormat="0" applyFill="0" applyBorder="0" applyAlignment="0" applyProtection="0">
      <alignment vertical="top"/>
      <protection locked="0"/>
    </xf>
    <xf numFmtId="0" fontId="1" fillId="0" borderId="0"/>
    <xf numFmtId="0" fontId="1" fillId="0" borderId="0"/>
    <xf numFmtId="0" fontId="8" fillId="0" borderId="0"/>
    <xf numFmtId="0" fontId="1" fillId="0" borderId="0"/>
    <xf numFmtId="0" fontId="8" fillId="0" borderId="0"/>
    <xf numFmtId="0" fontId="8" fillId="0" borderId="0"/>
    <xf numFmtId="41" fontId="8" fillId="0" borderId="0"/>
    <xf numFmtId="0" fontId="8" fillId="0" borderId="0"/>
    <xf numFmtId="0" fontId="8" fillId="0" borderId="0"/>
    <xf numFmtId="0" fontId="8" fillId="0" borderId="0"/>
    <xf numFmtId="0" fontId="8" fillId="0" borderId="0"/>
    <xf numFmtId="0" fontId="110" fillId="0" borderId="0"/>
    <xf numFmtId="0" fontId="110" fillId="0" borderId="0"/>
    <xf numFmtId="0" fontId="8" fillId="0" borderId="0"/>
    <xf numFmtId="165" fontId="70" fillId="0" borderId="0" applyFont="0" applyFill="0" applyBorder="0" applyAlignment="0" applyProtection="0"/>
    <xf numFmtId="0" fontId="111" fillId="0" borderId="0"/>
    <xf numFmtId="0" fontId="1" fillId="0" borderId="0"/>
    <xf numFmtId="0" fontId="5" fillId="0" borderId="0" applyNumberFormat="0" applyFill="0" applyBorder="0" applyAlignment="0" applyProtection="0"/>
    <xf numFmtId="0" fontId="1" fillId="0" borderId="0"/>
    <xf numFmtId="0" fontId="29" fillId="0" borderId="0"/>
    <xf numFmtId="0" fontId="70" fillId="0" borderId="0"/>
    <xf numFmtId="0" fontId="1" fillId="0" borderId="0"/>
    <xf numFmtId="0" fontId="1" fillId="0" borderId="0"/>
    <xf numFmtId="0" fontId="8" fillId="0" borderId="0"/>
    <xf numFmtId="0" fontId="1" fillId="0" borderId="0"/>
    <xf numFmtId="0" fontId="1" fillId="0" borderId="0"/>
    <xf numFmtId="0" fontId="8" fillId="0" borderId="0"/>
    <xf numFmtId="0" fontId="114" fillId="0" borderId="0"/>
    <xf numFmtId="43" fontId="1" fillId="0" borderId="0" applyFont="0" applyFill="0" applyBorder="0" applyAlignment="0" applyProtection="0"/>
    <xf numFmtId="0" fontId="8" fillId="0" borderId="0"/>
    <xf numFmtId="165" fontId="1" fillId="0" borderId="0" applyFont="0" applyFill="0" applyBorder="0" applyAlignment="0" applyProtection="0"/>
    <xf numFmtId="0" fontId="50" fillId="0" borderId="0"/>
    <xf numFmtId="0" fontId="8" fillId="0" borderId="0"/>
    <xf numFmtId="0" fontId="50" fillId="0" borderId="0"/>
    <xf numFmtId="0" fontId="111" fillId="0" borderId="0"/>
    <xf numFmtId="0" fontId="50" fillId="0" borderId="0"/>
    <xf numFmtId="0" fontId="50" fillId="0" borderId="0"/>
    <xf numFmtId="0" fontId="1" fillId="0" borderId="0"/>
    <xf numFmtId="0" fontId="50" fillId="0" borderId="0"/>
    <xf numFmtId="164" fontId="1" fillId="0" borderId="0" applyFont="0" applyFill="0" applyBorder="0" applyAlignment="0" applyProtection="0"/>
    <xf numFmtId="0" fontId="8" fillId="0" borderId="0"/>
    <xf numFmtId="0" fontId="8" fillId="0" borderId="0"/>
    <xf numFmtId="0" fontId="8" fillId="0" borderId="0" applyNumberFormat="0" applyFont="0" applyFill="0" applyBorder="0" applyAlignment="0" applyProtection="0"/>
    <xf numFmtId="0" fontId="62" fillId="0" borderId="0"/>
    <xf numFmtId="9" fontId="62" fillId="0" borderId="0" applyFont="0" applyFill="0" applyBorder="0" applyAlignment="0" applyProtection="0"/>
    <xf numFmtId="0" fontId="1" fillId="0" borderId="0"/>
    <xf numFmtId="0" fontId="1" fillId="0" borderId="0"/>
    <xf numFmtId="0" fontId="1" fillId="0" borderId="0"/>
    <xf numFmtId="0" fontId="57" fillId="0" borderId="0"/>
    <xf numFmtId="0" fontId="1" fillId="0" borderId="0"/>
    <xf numFmtId="0" fontId="57" fillId="0" borderId="0"/>
    <xf numFmtId="0" fontId="1" fillId="0" borderId="0"/>
  </cellStyleXfs>
  <cellXfs count="3969">
    <xf numFmtId="0" fontId="0" fillId="0" borderId="0" xfId="0"/>
    <xf numFmtId="0" fontId="7" fillId="0" borderId="0" xfId="0" applyFont="1" applyAlignment="1">
      <alignment wrapText="1"/>
    </xf>
    <xf numFmtId="0" fontId="9" fillId="0" borderId="2" xfId="3" applyFont="1" applyBorder="1" applyAlignment="1">
      <alignment horizontal="center" vertical="center" wrapText="1"/>
    </xf>
    <xf numFmtId="0" fontId="7" fillId="0" borderId="0" xfId="0" applyFont="1" applyAlignment="1">
      <alignment vertical="center"/>
    </xf>
    <xf numFmtId="0" fontId="7" fillId="0" borderId="0" xfId="0" applyFont="1"/>
    <xf numFmtId="0" fontId="7" fillId="0" borderId="0" xfId="0" applyFont="1" applyAlignment="1">
      <alignment horizontal="center" wrapText="1"/>
    </xf>
    <xf numFmtId="168" fontId="7" fillId="0" borderId="0" xfId="0" applyNumberFormat="1" applyFont="1" applyAlignment="1">
      <alignment wrapText="1"/>
    </xf>
    <xf numFmtId="0" fontId="18" fillId="0" borderId="0" xfId="5" applyFont="1" applyFill="1" applyAlignment="1" applyProtection="1">
      <alignment horizontal="left" vertical="center" indent="3"/>
    </xf>
    <xf numFmtId="174" fontId="15" fillId="0" borderId="3" xfId="6" applyNumberFormat="1" applyFont="1" applyFill="1" applyBorder="1" applyAlignment="1">
      <alignment horizontal="right" vertical="center" wrapText="1"/>
    </xf>
    <xf numFmtId="165" fontId="15" fillId="0" borderId="3" xfId="6" applyFont="1" applyFill="1" applyBorder="1" applyAlignment="1">
      <alignment horizontal="right" vertical="center" wrapText="1"/>
    </xf>
    <xf numFmtId="165" fontId="16" fillId="0" borderId="3" xfId="6" applyFont="1" applyFill="1" applyBorder="1" applyAlignment="1">
      <alignment horizontal="right" vertical="center" wrapText="1"/>
    </xf>
    <xf numFmtId="175" fontId="15" fillId="0" borderId="3" xfId="6" applyNumberFormat="1" applyFont="1" applyFill="1" applyBorder="1" applyAlignment="1">
      <alignment horizontal="right" vertical="center" wrapText="1"/>
    </xf>
    <xf numFmtId="0" fontId="7" fillId="0" borderId="2" xfId="0" applyFont="1" applyBorder="1" applyAlignment="1">
      <alignment horizontal="center" wrapText="1"/>
    </xf>
    <xf numFmtId="170" fontId="10" fillId="0" borderId="2" xfId="7" applyNumberFormat="1" applyFont="1" applyFill="1" applyBorder="1" applyAlignment="1">
      <alignment horizontal="right" vertical="center" wrapText="1"/>
    </xf>
    <xf numFmtId="170" fontId="10" fillId="0" borderId="2" xfId="7" applyNumberFormat="1" applyFont="1" applyFill="1" applyBorder="1" applyAlignment="1">
      <alignment horizontal="center" vertical="center" wrapText="1"/>
    </xf>
    <xf numFmtId="170" fontId="10" fillId="0" borderId="7" xfId="7" applyNumberFormat="1" applyFont="1" applyFill="1" applyBorder="1" applyAlignment="1">
      <alignment horizontal="center" vertical="center" wrapText="1"/>
    </xf>
    <xf numFmtId="0" fontId="10" fillId="0" borderId="2" xfId="0" applyFont="1" applyBorder="1" applyAlignment="1">
      <alignment vertical="center" wrapText="1"/>
    </xf>
    <xf numFmtId="0" fontId="0" fillId="0" borderId="0" xfId="0" applyAlignment="1">
      <alignment wrapText="1"/>
    </xf>
    <xf numFmtId="0" fontId="9" fillId="0" borderId="2" xfId="0" applyFont="1" applyBorder="1" applyAlignment="1">
      <alignment horizontal="center" vertical="center"/>
    </xf>
    <xf numFmtId="0" fontId="7" fillId="0" borderId="2" xfId="0" applyFont="1" applyBorder="1" applyAlignment="1">
      <alignment vertical="center"/>
    </xf>
    <xf numFmtId="0" fontId="10" fillId="0" borderId="2" xfId="0" applyFont="1" applyBorder="1" applyAlignment="1">
      <alignment vertical="center"/>
    </xf>
    <xf numFmtId="170" fontId="16" fillId="0" borderId="2" xfId="7" applyNumberFormat="1" applyFont="1" applyFill="1" applyBorder="1" applyAlignment="1">
      <alignment horizontal="center" vertical="center" wrapText="1"/>
    </xf>
    <xf numFmtId="0" fontId="26" fillId="0" borderId="0" xfId="0" applyFont="1" applyAlignment="1">
      <alignment vertical="center"/>
    </xf>
    <xf numFmtId="0" fontId="27" fillId="0" borderId="0" xfId="5" applyFont="1" applyFill="1" applyAlignment="1" applyProtection="1">
      <alignment vertical="center"/>
    </xf>
    <xf numFmtId="0" fontId="0" fillId="0" borderId="2" xfId="0" applyBorder="1"/>
    <xf numFmtId="168" fontId="28" fillId="0" borderId="0" xfId="0" applyNumberFormat="1" applyFont="1" applyAlignment="1">
      <alignment vertical="center"/>
    </xf>
    <xf numFmtId="0" fontId="28" fillId="0" borderId="0" xfId="0" applyFont="1" applyAlignment="1">
      <alignment vertical="center"/>
    </xf>
    <xf numFmtId="0" fontId="31" fillId="0" borderId="0" xfId="0" applyFont="1" applyAlignment="1">
      <alignment horizontal="left" vertical="center" wrapText="1"/>
    </xf>
    <xf numFmtId="0" fontId="32" fillId="0" borderId="0" xfId="0" applyFont="1" applyAlignment="1">
      <alignment vertical="center"/>
    </xf>
    <xf numFmtId="0" fontId="26" fillId="0" borderId="0" xfId="0" applyFont="1" applyAlignment="1">
      <alignment horizontal="center" vertical="center"/>
    </xf>
    <xf numFmtId="0" fontId="29" fillId="0" borderId="0" xfId="11" applyFill="1"/>
    <xf numFmtId="0" fontId="36" fillId="0" borderId="2" xfId="0" applyFont="1" applyBorder="1" applyAlignment="1">
      <alignment horizontal="center" vertical="center" wrapText="1"/>
    </xf>
    <xf numFmtId="0" fontId="30" fillId="0" borderId="0" xfId="11" applyFont="1" applyFill="1"/>
    <xf numFmtId="0" fontId="29" fillId="0" borderId="0" xfId="11" applyFill="1" applyAlignment="1">
      <alignment wrapText="1"/>
    </xf>
    <xf numFmtId="180" fontId="29" fillId="0" borderId="0" xfId="11" applyNumberFormat="1" applyFill="1" applyAlignment="1">
      <alignment wrapText="1"/>
    </xf>
    <xf numFmtId="0" fontId="42" fillId="0" borderId="0" xfId="11" applyFont="1" applyFill="1"/>
    <xf numFmtId="0" fontId="29" fillId="0" borderId="0" xfId="11" applyFill="1" applyAlignment="1">
      <alignment horizontal="center"/>
    </xf>
    <xf numFmtId="0" fontId="43" fillId="0" borderId="0" xfId="11" applyFont="1" applyFill="1"/>
    <xf numFmtId="0" fontId="9" fillId="0" borderId="2" xfId="0" applyFont="1" applyBorder="1" applyAlignment="1">
      <alignment horizontal="center" vertical="center" wrapText="1"/>
    </xf>
    <xf numFmtId="0" fontId="7" fillId="0" borderId="2" xfId="0" applyFont="1" applyBorder="1"/>
    <xf numFmtId="1" fontId="12" fillId="0" borderId="2" xfId="0" applyNumberFormat="1" applyFont="1" applyBorder="1" applyAlignment="1">
      <alignment horizontal="center" vertical="center"/>
    </xf>
    <xf numFmtId="1" fontId="12" fillId="3" borderId="2" xfId="0" applyNumberFormat="1" applyFont="1" applyFill="1" applyBorder="1" applyAlignment="1">
      <alignment horizontal="center" vertical="center"/>
    </xf>
    <xf numFmtId="1" fontId="7" fillId="3" borderId="2" xfId="0" applyNumberFormat="1" applyFont="1" applyFill="1" applyBorder="1" applyAlignment="1">
      <alignment horizontal="center" vertical="center"/>
    </xf>
    <xf numFmtId="1" fontId="7" fillId="0" borderId="0" xfId="0" applyNumberFormat="1" applyFont="1" applyAlignment="1">
      <alignment horizontal="center"/>
    </xf>
    <xf numFmtId="168" fontId="9" fillId="0" borderId="2" xfId="0" applyNumberFormat="1" applyFont="1" applyBorder="1" applyAlignment="1">
      <alignment horizontal="center" vertical="center" wrapText="1"/>
    </xf>
    <xf numFmtId="0" fontId="12" fillId="0" borderId="0" xfId="0" applyFont="1"/>
    <xf numFmtId="0" fontId="44" fillId="0" borderId="2" xfId="0" applyFont="1" applyBorder="1" applyAlignment="1">
      <alignment horizontal="left" vertical="center"/>
    </xf>
    <xf numFmtId="0" fontId="12" fillId="0" borderId="0" xfId="0" applyFont="1" applyAlignment="1">
      <alignment horizontal="center" vertical="center"/>
    </xf>
    <xf numFmtId="0" fontId="12" fillId="0" borderId="0" xfId="0" applyFont="1" applyAlignment="1">
      <alignment vertical="center"/>
    </xf>
    <xf numFmtId="0" fontId="12" fillId="0" borderId="0" xfId="0" applyFont="1" applyAlignment="1">
      <alignment vertical="center" wrapText="1"/>
    </xf>
    <xf numFmtId="1" fontId="7" fillId="0" borderId="0" xfId="0" applyNumberFormat="1" applyFont="1"/>
    <xf numFmtId="0" fontId="7" fillId="0" borderId="0" xfId="0" applyFont="1" applyAlignment="1">
      <alignment horizontal="center"/>
    </xf>
    <xf numFmtId="0" fontId="13" fillId="0" borderId="2" xfId="0" applyFont="1" applyBorder="1" applyAlignment="1">
      <alignment horizontal="center" vertical="center" wrapText="1"/>
    </xf>
    <xf numFmtId="0" fontId="44" fillId="0" borderId="2" xfId="0" applyFont="1" applyBorder="1" applyAlignment="1">
      <alignment horizontal="center" vertical="center" wrapText="1"/>
    </xf>
    <xf numFmtId="0" fontId="44" fillId="0" borderId="2" xfId="0" applyFont="1" applyBorder="1" applyAlignment="1">
      <alignment horizontal="center" vertical="center"/>
    </xf>
    <xf numFmtId="0" fontId="13" fillId="0" borderId="0" xfId="0" applyFont="1"/>
    <xf numFmtId="0" fontId="13" fillId="0" borderId="2" xfId="0" applyFont="1" applyBorder="1" applyAlignment="1">
      <alignment horizontal="center" vertical="center"/>
    </xf>
    <xf numFmtId="0" fontId="17" fillId="0" borderId="0" xfId="5" applyFill="1" applyAlignment="1" applyProtection="1"/>
    <xf numFmtId="0" fontId="10" fillId="0" borderId="0" xfId="0" applyFont="1" applyAlignment="1">
      <alignment vertical="center"/>
    </xf>
    <xf numFmtId="0" fontId="7" fillId="0" borderId="2" xfId="0" applyFont="1" applyBorder="1" applyAlignment="1">
      <alignment horizontal="left" vertical="center" wrapText="1"/>
    </xf>
    <xf numFmtId="0" fontId="37" fillId="0" borderId="0" xfId="0" applyFont="1" applyAlignment="1">
      <alignment horizontal="left" vertical="center"/>
    </xf>
    <xf numFmtId="0" fontId="33" fillId="0" borderId="2" xfId="0" applyFont="1" applyBorder="1" applyAlignment="1">
      <alignment horizontal="center" vertical="center" wrapText="1"/>
    </xf>
    <xf numFmtId="0" fontId="7" fillId="0" borderId="2" xfId="0" applyFont="1" applyBorder="1" applyAlignment="1">
      <alignment vertical="center" wrapText="1"/>
    </xf>
    <xf numFmtId="0" fontId="13" fillId="0" borderId="2" xfId="0" applyFont="1" applyBorder="1" applyAlignment="1">
      <alignment vertical="center" wrapText="1"/>
    </xf>
    <xf numFmtId="0" fontId="13" fillId="0" borderId="2" xfId="0" applyFont="1" applyBorder="1" applyAlignment="1">
      <alignment horizontal="center" wrapText="1"/>
    </xf>
    <xf numFmtId="0" fontId="3" fillId="0" borderId="0" xfId="0" applyFont="1"/>
    <xf numFmtId="0" fontId="12" fillId="0" borderId="2" xfId="16" applyFont="1" applyBorder="1"/>
    <xf numFmtId="0" fontId="55" fillId="0" borderId="0" xfId="0" applyFont="1"/>
    <xf numFmtId="0" fontId="12" fillId="0" borderId="2" xfId="16" applyFont="1" applyBorder="1" applyAlignment="1">
      <alignment vertical="center"/>
    </xf>
    <xf numFmtId="0" fontId="12" fillId="0" borderId="2" xfId="16" applyFont="1" applyBorder="1" applyAlignment="1">
      <alignment vertical="center" wrapText="1"/>
    </xf>
    <xf numFmtId="0" fontId="44" fillId="0" borderId="2" xfId="16" applyFont="1" applyBorder="1" applyAlignment="1">
      <alignment vertical="top" wrapText="1"/>
    </xf>
    <xf numFmtId="168" fontId="44" fillId="0" borderId="2" xfId="16" applyNumberFormat="1" applyFont="1" applyBorder="1" applyAlignment="1">
      <alignment horizontal="center" vertical="top"/>
    </xf>
    <xf numFmtId="0" fontId="44" fillId="0" borderId="2" xfId="16" applyFont="1" applyBorder="1" applyAlignment="1">
      <alignment vertical="center" wrapText="1"/>
    </xf>
    <xf numFmtId="185" fontId="44" fillId="0" borderId="2" xfId="16" applyNumberFormat="1" applyFont="1" applyBorder="1" applyAlignment="1">
      <alignment horizontal="center"/>
    </xf>
    <xf numFmtId="0" fontId="9" fillId="0" borderId="2" xfId="16" applyFont="1" applyBorder="1" applyAlignment="1">
      <alignment horizontal="center" vertical="center" wrapText="1"/>
    </xf>
    <xf numFmtId="0" fontId="44" fillId="0" borderId="2" xfId="16" applyFont="1" applyBorder="1"/>
    <xf numFmtId="0" fontId="12" fillId="0" borderId="15" xfId="16" applyFont="1" applyBorder="1" applyAlignment="1">
      <alignment horizontal="right" indent="2"/>
    </xf>
    <xf numFmtId="0" fontId="12" fillId="0" borderId="2" xfId="16" applyFont="1" applyBorder="1" applyAlignment="1">
      <alignment horizontal="right" indent="2"/>
    </xf>
    <xf numFmtId="1" fontId="44" fillId="0" borderId="2" xfId="16" applyNumberFormat="1" applyFont="1" applyBorder="1" applyAlignment="1">
      <alignment horizontal="center"/>
    </xf>
    <xf numFmtId="1" fontId="12" fillId="0" borderId="2" xfId="16" applyNumberFormat="1" applyFont="1" applyBorder="1" applyAlignment="1">
      <alignment horizontal="center"/>
    </xf>
    <xf numFmtId="0" fontId="44" fillId="0" borderId="7" xfId="16" applyFont="1" applyBorder="1"/>
    <xf numFmtId="0" fontId="12" fillId="0" borderId="2" xfId="16" applyFont="1" applyBorder="1" applyAlignment="1">
      <alignment horizontal="left"/>
    </xf>
    <xf numFmtId="0" fontId="44" fillId="0" borderId="2" xfId="16" applyFont="1" applyBorder="1" applyAlignment="1">
      <alignment horizontal="left"/>
    </xf>
    <xf numFmtId="0" fontId="44" fillId="0" borderId="0" xfId="16" applyFont="1" applyAlignment="1">
      <alignment vertical="center"/>
    </xf>
    <xf numFmtId="2" fontId="12" fillId="0" borderId="0" xfId="16" applyNumberFormat="1" applyFont="1"/>
    <xf numFmtId="0" fontId="12" fillId="0" borderId="0" xfId="16" applyFont="1"/>
    <xf numFmtId="0" fontId="7" fillId="0" borderId="20" xfId="0" applyFont="1" applyBorder="1"/>
    <xf numFmtId="0" fontId="7" fillId="0" borderId="21" xfId="0" applyFont="1" applyBorder="1"/>
    <xf numFmtId="0" fontId="7" fillId="0" borderId="23" xfId="0" applyFont="1" applyBorder="1"/>
    <xf numFmtId="0" fontId="7" fillId="0" borderId="24" xfId="0" applyFont="1" applyBorder="1"/>
    <xf numFmtId="0" fontId="14" fillId="0" borderId="0" xfId="0" applyFont="1"/>
    <xf numFmtId="0" fontId="7" fillId="0" borderId="0" xfId="0" applyFont="1" applyAlignment="1">
      <alignment horizontal="left"/>
    </xf>
    <xf numFmtId="0" fontId="61" fillId="0" borderId="2" xfId="0" applyFont="1" applyBorder="1" applyAlignment="1">
      <alignment horizontal="center" vertical="top" wrapText="1"/>
    </xf>
    <xf numFmtId="168" fontId="0" fillId="0" borderId="2" xfId="0" applyNumberFormat="1" applyBorder="1"/>
    <xf numFmtId="1" fontId="62" fillId="0" borderId="2" xfId="0" applyNumberFormat="1" applyFont="1" applyBorder="1" applyAlignment="1">
      <alignment horizontal="center" vertical="center"/>
    </xf>
    <xf numFmtId="0" fontId="2" fillId="0" borderId="0" xfId="0" applyFont="1" applyAlignment="1">
      <alignment horizontal="center"/>
    </xf>
    <xf numFmtId="1" fontId="63" fillId="0" borderId="0" xfId="0" applyNumberFormat="1" applyFont="1" applyAlignment="1">
      <alignment horizontal="center"/>
    </xf>
    <xf numFmtId="0" fontId="65" fillId="0" borderId="25" xfId="0" applyFont="1" applyBorder="1" applyAlignment="1">
      <alignment vertical="center" wrapText="1"/>
    </xf>
    <xf numFmtId="0" fontId="66" fillId="0" borderId="24" xfId="0" applyFont="1" applyBorder="1" applyAlignment="1">
      <alignment horizontal="center" vertical="center"/>
    </xf>
    <xf numFmtId="0" fontId="0" fillId="0" borderId="22" xfId="0" applyBorder="1"/>
    <xf numFmtId="0" fontId="0" fillId="0" borderId="23" xfId="0" applyBorder="1"/>
    <xf numFmtId="0" fontId="36" fillId="3" borderId="2" xfId="0" applyFont="1" applyFill="1" applyBorder="1" applyAlignment="1">
      <alignment horizontal="center" wrapText="1"/>
    </xf>
    <xf numFmtId="168" fontId="44" fillId="3" borderId="2" xfId="16" applyNumberFormat="1" applyFont="1" applyFill="1" applyBorder="1" applyAlignment="1">
      <alignment horizontal="center" vertical="top"/>
    </xf>
    <xf numFmtId="168" fontId="13" fillId="3" borderId="2" xfId="16" applyNumberFormat="1" applyFont="1" applyFill="1" applyBorder="1" applyAlignment="1">
      <alignment horizontal="center" vertical="top"/>
    </xf>
    <xf numFmtId="0" fontId="12" fillId="3" borderId="15" xfId="16" applyFont="1" applyFill="1" applyBorder="1" applyAlignment="1">
      <alignment horizontal="right" indent="2"/>
    </xf>
    <xf numFmtId="0" fontId="12" fillId="3" borderId="2" xfId="16" applyFont="1" applyFill="1" applyBorder="1" applyAlignment="1">
      <alignment horizontal="right" indent="2"/>
    </xf>
    <xf numFmtId="1" fontId="44" fillId="3" borderId="2" xfId="16" applyNumberFormat="1" applyFont="1" applyFill="1" applyBorder="1" applyAlignment="1">
      <alignment horizontal="center"/>
    </xf>
    <xf numFmtId="1" fontId="13" fillId="3" borderId="2" xfId="16" applyNumberFormat="1" applyFont="1" applyFill="1" applyBorder="1" applyAlignment="1">
      <alignment horizontal="center"/>
    </xf>
    <xf numFmtId="1" fontId="12" fillId="3" borderId="2" xfId="16" applyNumberFormat="1" applyFont="1" applyFill="1" applyBorder="1" applyAlignment="1">
      <alignment horizontal="center"/>
    </xf>
    <xf numFmtId="1" fontId="7" fillId="3" borderId="2" xfId="16" applyNumberFormat="1" applyFont="1" applyFill="1" applyBorder="1" applyAlignment="1">
      <alignment horizontal="center"/>
    </xf>
    <xf numFmtId="0" fontId="0" fillId="0" borderId="20" xfId="0" applyBorder="1"/>
    <xf numFmtId="0" fontId="0" fillId="0" borderId="21" xfId="0" applyBorder="1"/>
    <xf numFmtId="0" fontId="15" fillId="0" borderId="0" xfId="0" applyFont="1"/>
    <xf numFmtId="168" fontId="7" fillId="0" borderId="0" xfId="0" applyNumberFormat="1" applyFont="1"/>
    <xf numFmtId="0" fontId="44" fillId="0" borderId="2" xfId="0" applyFont="1" applyBorder="1" applyAlignment="1">
      <alignment vertical="center"/>
    </xf>
    <xf numFmtId="168" fontId="7" fillId="0" borderId="2" xfId="0" applyNumberFormat="1" applyFont="1" applyBorder="1" applyAlignment="1">
      <alignment horizontal="center"/>
    </xf>
    <xf numFmtId="185" fontId="7" fillId="0" borderId="0" xfId="0" applyNumberFormat="1" applyFont="1"/>
    <xf numFmtId="0" fontId="71" fillId="0" borderId="0" xfId="0" applyFont="1"/>
    <xf numFmtId="0" fontId="7" fillId="0" borderId="0" xfId="0" applyFont="1" applyAlignment="1">
      <alignment horizontal="center" vertical="center"/>
    </xf>
    <xf numFmtId="0" fontId="12" fillId="0" borderId="0" xfId="0" applyFont="1" applyAlignment="1">
      <alignment horizontal="center" vertical="top" wrapText="1"/>
    </xf>
    <xf numFmtId="2" fontId="0" fillId="0" borderId="0" xfId="0" applyNumberFormat="1"/>
    <xf numFmtId="0" fontId="0" fillId="0" borderId="20" xfId="0" applyBorder="1" applyAlignment="1">
      <alignment wrapText="1"/>
    </xf>
    <xf numFmtId="185" fontId="63" fillId="0" borderId="0" xfId="0" applyNumberFormat="1" applyFont="1"/>
    <xf numFmtId="185" fontId="63" fillId="0" borderId="20" xfId="0" applyNumberFormat="1" applyFont="1" applyBorder="1"/>
    <xf numFmtId="0" fontId="12" fillId="0" borderId="0" xfId="0" applyFont="1" applyAlignment="1">
      <alignment horizontal="center" vertical="center" wrapText="1"/>
    </xf>
    <xf numFmtId="0" fontId="74" fillId="0" borderId="0" xfId="0" applyFont="1" applyAlignment="1">
      <alignment horizontal="center" vertical="center" wrapText="1"/>
    </xf>
    <xf numFmtId="0" fontId="74" fillId="0" borderId="0" xfId="0" applyFont="1" applyAlignment="1">
      <alignment horizontal="center" vertical="center"/>
    </xf>
    <xf numFmtId="0" fontId="72" fillId="0" borderId="0" xfId="0" applyFont="1" applyAlignment="1">
      <alignment horizontal="center" vertical="center" wrapText="1"/>
    </xf>
    <xf numFmtId="0" fontId="63" fillId="0" borderId="0" xfId="0" applyFont="1"/>
    <xf numFmtId="0" fontId="63" fillId="0" borderId="20" xfId="0" applyFont="1" applyBorder="1"/>
    <xf numFmtId="0" fontId="71" fillId="0" borderId="0" xfId="0" applyFont="1" applyAlignment="1">
      <alignment wrapText="1"/>
    </xf>
    <xf numFmtId="168" fontId="71" fillId="0" borderId="0" xfId="0" applyNumberFormat="1" applyFont="1" applyAlignment="1">
      <alignment wrapText="1"/>
    </xf>
    <xf numFmtId="0" fontId="71" fillId="0" borderId="0" xfId="0" applyFont="1" applyAlignment="1">
      <alignment horizontal="center" wrapText="1"/>
    </xf>
    <xf numFmtId="0" fontId="48" fillId="0" borderId="0" xfId="35" applyFont="1" applyAlignment="1">
      <alignment horizontal="center" vertical="center" wrapText="1"/>
    </xf>
    <xf numFmtId="0" fontId="12" fillId="0" borderId="2" xfId="35" applyFont="1" applyBorder="1" applyAlignment="1">
      <alignment vertical="center" wrapText="1"/>
    </xf>
    <xf numFmtId="10" fontId="75" fillId="0" borderId="0" xfId="1" applyNumberFormat="1" applyFont="1" applyFill="1" applyAlignment="1">
      <alignment horizontal="center"/>
    </xf>
    <xf numFmtId="0" fontId="26" fillId="0" borderId="0" xfId="0" applyFont="1"/>
    <xf numFmtId="0" fontId="54" fillId="0" borderId="2" xfId="35" applyFont="1" applyBorder="1" applyAlignment="1">
      <alignment horizontal="center" vertical="top" wrapText="1"/>
    </xf>
    <xf numFmtId="168" fontId="13" fillId="4" borderId="2" xfId="35" applyNumberFormat="1" applyFont="1" applyFill="1" applyBorder="1" applyAlignment="1">
      <alignment horizontal="center" vertical="center" wrapText="1"/>
    </xf>
    <xf numFmtId="0" fontId="63" fillId="0" borderId="2" xfId="0" applyFont="1" applyBorder="1"/>
    <xf numFmtId="168" fontId="44" fillId="4" borderId="2" xfId="35" applyNumberFormat="1" applyFont="1" applyFill="1" applyBorder="1" applyAlignment="1">
      <alignment horizontal="center" vertical="center" wrapText="1"/>
    </xf>
    <xf numFmtId="0" fontId="83" fillId="6" borderId="2" xfId="3" applyFont="1" applyFill="1" applyBorder="1" applyAlignment="1">
      <alignment horizontal="left" vertical="top" wrapText="1"/>
    </xf>
    <xf numFmtId="0" fontId="10" fillId="0" borderId="16" xfId="35" applyFont="1" applyBorder="1" applyAlignment="1">
      <alignment vertical="center" wrapText="1"/>
    </xf>
    <xf numFmtId="0" fontId="13" fillId="0" borderId="2" xfId="0" applyFont="1" applyBorder="1"/>
    <xf numFmtId="0" fontId="44" fillId="0" borderId="2" xfId="35" applyFont="1" applyBorder="1" applyAlignment="1">
      <alignment vertical="center" wrapText="1"/>
    </xf>
    <xf numFmtId="0" fontId="3" fillId="0" borderId="16" xfId="0" applyFont="1" applyBorder="1" applyAlignment="1">
      <alignment horizontal="center"/>
    </xf>
    <xf numFmtId="0" fontId="3" fillId="0" borderId="2" xfId="0" applyFont="1" applyBorder="1" applyAlignment="1">
      <alignment horizontal="center"/>
    </xf>
    <xf numFmtId="0" fontId="0" fillId="0" borderId="16" xfId="0" applyBorder="1" applyAlignment="1">
      <alignment horizontal="center"/>
    </xf>
    <xf numFmtId="0" fontId="94" fillId="0" borderId="2" xfId="35" applyFont="1" applyBorder="1" applyAlignment="1">
      <alignment horizontal="left" vertical="center" wrapText="1"/>
    </xf>
    <xf numFmtId="2" fontId="84" fillId="0" borderId="2" xfId="35" applyNumberFormat="1" applyFont="1" applyBorder="1" applyAlignment="1">
      <alignment horizontal="center" vertical="center" wrapText="1"/>
    </xf>
    <xf numFmtId="0" fontId="95" fillId="0" borderId="2" xfId="35" applyFont="1" applyBorder="1" applyAlignment="1">
      <alignment horizontal="left" vertical="center" wrapText="1"/>
    </xf>
    <xf numFmtId="2" fontId="83" fillId="0" borderId="2" xfId="35" applyNumberFormat="1" applyFont="1" applyBorder="1" applyAlignment="1">
      <alignment horizontal="center" vertical="center" wrapText="1"/>
    </xf>
    <xf numFmtId="0" fontId="0" fillId="0" borderId="16" xfId="0" applyBorder="1"/>
    <xf numFmtId="0" fontId="3" fillId="0" borderId="2" xfId="0" applyFont="1" applyBorder="1"/>
    <xf numFmtId="2" fontId="3" fillId="0" borderId="2" xfId="0" applyNumberFormat="1" applyFont="1" applyBorder="1" applyAlignment="1">
      <alignment horizontal="center"/>
    </xf>
    <xf numFmtId="0" fontId="41" fillId="0" borderId="0" xfId="0" applyFont="1"/>
    <xf numFmtId="0" fontId="13" fillId="0" borderId="0" xfId="0" applyFont="1" applyAlignment="1">
      <alignment horizontal="left"/>
    </xf>
    <xf numFmtId="0" fontId="7" fillId="0" borderId="16" xfId="0" applyFont="1" applyBorder="1" applyAlignment="1">
      <alignment horizontal="left" vertical="center" wrapText="1"/>
    </xf>
    <xf numFmtId="185" fontId="7" fillId="0" borderId="2" xfId="0" applyNumberFormat="1" applyFont="1" applyBorder="1"/>
    <xf numFmtId="0" fontId="7" fillId="0" borderId="2" xfId="0" applyFont="1" applyBorder="1" applyAlignment="1">
      <alignment horizontal="left"/>
    </xf>
    <xf numFmtId="195" fontId="44" fillId="0" borderId="2" xfId="0" applyNumberFormat="1" applyFont="1" applyBorder="1" applyAlignment="1">
      <alignment horizontal="left" vertical="center" wrapText="1"/>
    </xf>
    <xf numFmtId="3" fontId="13" fillId="0" borderId="2" xfId="0" applyNumberFormat="1" applyFont="1" applyBorder="1"/>
    <xf numFmtId="1" fontId="13" fillId="0" borderId="2" xfId="0" applyNumberFormat="1" applyFont="1" applyBorder="1"/>
    <xf numFmtId="185" fontId="0" fillId="0" borderId="0" xfId="0" applyNumberFormat="1"/>
    <xf numFmtId="168" fontId="37" fillId="0" borderId="0" xfId="0" applyNumberFormat="1" applyFont="1" applyAlignment="1">
      <alignment horizontal="center" vertical="center" wrapText="1"/>
    </xf>
    <xf numFmtId="168" fontId="7" fillId="0" borderId="0" xfId="0" applyNumberFormat="1" applyFont="1" applyAlignment="1">
      <alignment horizontal="center"/>
    </xf>
    <xf numFmtId="0" fontId="105" fillId="0" borderId="0" xfId="0" applyFont="1"/>
    <xf numFmtId="0" fontId="105" fillId="0" borderId="0" xfId="0" applyFont="1" applyAlignment="1">
      <alignment vertical="center"/>
    </xf>
    <xf numFmtId="1" fontId="15" fillId="0" borderId="0" xfId="0" applyNumberFormat="1" applyFont="1"/>
    <xf numFmtId="0" fontId="99" fillId="0" borderId="0" xfId="0" applyFont="1"/>
    <xf numFmtId="1" fontId="99" fillId="0" borderId="0" xfId="0" applyNumberFormat="1" applyFont="1"/>
    <xf numFmtId="0" fontId="44" fillId="0" borderId="0" xfId="0" applyFont="1" applyAlignment="1">
      <alignment horizontal="center" vertical="center"/>
    </xf>
    <xf numFmtId="0" fontId="60" fillId="0" borderId="2" xfId="20" applyFont="1" applyBorder="1" applyAlignment="1">
      <alignment vertical="center" wrapText="1"/>
    </xf>
    <xf numFmtId="18" fontId="7" fillId="0" borderId="0" xfId="0" applyNumberFormat="1" applyFont="1"/>
    <xf numFmtId="0" fontId="106" fillId="0" borderId="0" xfId="0" applyFont="1"/>
    <xf numFmtId="0" fontId="7" fillId="0" borderId="16" xfId="0" applyFont="1" applyBorder="1" applyAlignment="1">
      <alignment horizontal="left" vertical="center"/>
    </xf>
    <xf numFmtId="0" fontId="12" fillId="0" borderId="16" xfId="0" applyFont="1" applyBorder="1" applyAlignment="1">
      <alignment horizontal="left" vertical="center"/>
    </xf>
    <xf numFmtId="195" fontId="44" fillId="0" borderId="16" xfId="0" applyNumberFormat="1" applyFont="1" applyBorder="1" applyAlignment="1">
      <alignment horizontal="left" vertical="center"/>
    </xf>
    <xf numFmtId="0" fontId="44" fillId="0" borderId="0" xfId="0" applyFont="1"/>
    <xf numFmtId="0" fontId="44" fillId="0" borderId="2" xfId="0" applyFont="1" applyBorder="1" applyAlignment="1">
      <alignment horizontal="left" vertical="center" wrapText="1"/>
    </xf>
    <xf numFmtId="49" fontId="44" fillId="0" borderId="2" xfId="0" applyNumberFormat="1" applyFont="1" applyBorder="1" applyAlignment="1">
      <alignment horizontal="center" vertical="center"/>
    </xf>
    <xf numFmtId="169" fontId="7" fillId="0" borderId="2" xfId="0" applyNumberFormat="1" applyFont="1" applyBorder="1" applyAlignment="1">
      <alignment vertical="center"/>
    </xf>
    <xf numFmtId="0" fontId="7" fillId="0" borderId="0" xfId="0" applyFont="1" applyAlignment="1">
      <alignment horizontal="justify" vertical="top" wrapText="1"/>
    </xf>
    <xf numFmtId="49" fontId="44" fillId="0" borderId="0" xfId="0" applyNumberFormat="1" applyFont="1" applyAlignment="1">
      <alignment horizontal="center" vertical="center"/>
    </xf>
    <xf numFmtId="169" fontId="7" fillId="0" borderId="0" xfId="0" applyNumberFormat="1" applyFont="1" applyAlignment="1">
      <alignment vertical="center"/>
    </xf>
    <xf numFmtId="0" fontId="44" fillId="0" borderId="60" xfId="40" applyFont="1" applyBorder="1" applyAlignment="1">
      <alignment horizontal="left" vertical="center" wrapText="1"/>
    </xf>
    <xf numFmtId="0" fontId="44" fillId="0" borderId="61" xfId="40" applyFont="1" applyBorder="1" applyAlignment="1">
      <alignment horizontal="center" vertical="center" wrapText="1"/>
    </xf>
    <xf numFmtId="0" fontId="45" fillId="0" borderId="0" xfId="40" applyFont="1" applyAlignment="1">
      <alignment horizontal="left" vertical="center" wrapText="1"/>
    </xf>
    <xf numFmtId="0" fontId="12" fillId="0" borderId="0" xfId="41" applyFont="1" applyAlignment="1">
      <alignment horizontal="center"/>
    </xf>
    <xf numFmtId="0" fontId="12" fillId="0" borderId="0" xfId="40" applyFont="1" applyAlignment="1">
      <alignment horizontal="center" vertical="center" wrapText="1"/>
    </xf>
    <xf numFmtId="0" fontId="12" fillId="0" borderId="0" xfId="42" applyFont="1" applyAlignment="1">
      <alignment horizontal="center" vertical="center"/>
    </xf>
    <xf numFmtId="0" fontId="44" fillId="0" borderId="0" xfId="0" applyFont="1" applyAlignment="1">
      <alignment vertical="center"/>
    </xf>
    <xf numFmtId="0" fontId="14" fillId="0" borderId="0" xfId="0" applyFont="1" applyAlignment="1">
      <alignment horizontal="center" vertical="center"/>
    </xf>
    <xf numFmtId="0" fontId="12" fillId="0" borderId="0" xfId="43" applyFont="1" applyAlignment="1">
      <alignment horizontal="center" vertical="center"/>
    </xf>
    <xf numFmtId="0" fontId="12" fillId="0" borderId="0" xfId="40" applyFont="1" applyAlignment="1">
      <alignment vertical="center"/>
    </xf>
    <xf numFmtId="0" fontId="44" fillId="0" borderId="0" xfId="0" applyFont="1" applyAlignment="1">
      <alignment horizontal="left" vertical="center"/>
    </xf>
    <xf numFmtId="0" fontId="7" fillId="0" borderId="0" xfId="43" applyFont="1" applyAlignment="1">
      <alignment horizontal="center" vertical="center"/>
    </xf>
    <xf numFmtId="0" fontId="15" fillId="0" borderId="2" xfId="43" applyFont="1" applyBorder="1" applyAlignment="1">
      <alignment horizontal="center" vertical="center"/>
    </xf>
    <xf numFmtId="0" fontId="12" fillId="0" borderId="0" xfId="0" applyFont="1" applyAlignment="1">
      <alignment vertical="top" wrapText="1"/>
    </xf>
    <xf numFmtId="41" fontId="13" fillId="0" borderId="0" xfId="39" applyFont="1" applyAlignment="1">
      <alignment horizontal="center" vertical="center"/>
    </xf>
    <xf numFmtId="0" fontId="69" fillId="0" borderId="0" xfId="35" applyFont="1" applyAlignment="1">
      <alignment horizontal="center" vertical="center" wrapText="1"/>
    </xf>
    <xf numFmtId="0" fontId="7" fillId="0" borderId="21" xfId="0" applyFont="1" applyBorder="1" applyAlignment="1">
      <alignment horizontal="center"/>
    </xf>
    <xf numFmtId="1" fontId="44" fillId="0" borderId="0" xfId="0" applyNumberFormat="1" applyFont="1" applyAlignment="1">
      <alignment horizontal="right" vertical="center" wrapText="1"/>
    </xf>
    <xf numFmtId="41" fontId="44" fillId="0" borderId="0" xfId="39" applyFont="1" applyAlignment="1">
      <alignment horizontal="center" vertical="center"/>
    </xf>
    <xf numFmtId="1" fontId="44" fillId="0" borderId="0" xfId="0" applyNumberFormat="1" applyFont="1" applyAlignment="1">
      <alignment horizontal="center" vertical="center"/>
    </xf>
    <xf numFmtId="1" fontId="13" fillId="0" borderId="0" xfId="39" applyNumberFormat="1" applyFont="1" applyAlignment="1">
      <alignment horizontal="center" vertical="center"/>
    </xf>
    <xf numFmtId="0" fontId="38" fillId="0" borderId="0" xfId="0" applyFont="1" applyAlignment="1">
      <alignment horizontal="left" vertical="top"/>
    </xf>
    <xf numFmtId="0" fontId="69" fillId="0" borderId="0" xfId="35" applyFont="1" applyAlignment="1">
      <alignment vertical="center" wrapText="1"/>
    </xf>
    <xf numFmtId="0" fontId="38" fillId="0" borderId="0" xfId="0" applyFont="1" applyAlignment="1">
      <alignment horizontal="center" vertical="top"/>
    </xf>
    <xf numFmtId="0" fontId="38" fillId="0" borderId="21" xfId="0" applyFont="1" applyBorder="1" applyAlignment="1">
      <alignment horizontal="center" vertical="top"/>
    </xf>
    <xf numFmtId="201" fontId="7" fillId="0" borderId="0" xfId="9" applyNumberFormat="1" applyFont="1" applyFill="1" applyAlignment="1">
      <alignment horizontal="center"/>
    </xf>
    <xf numFmtId="168" fontId="7" fillId="0" borderId="2" xfId="35" applyNumberFormat="1" applyFont="1" applyBorder="1" applyAlignment="1">
      <alignment horizontal="center" vertical="center" wrapText="1"/>
    </xf>
    <xf numFmtId="0" fontId="47" fillId="0" borderId="21" xfId="0" applyFont="1" applyBorder="1" applyAlignment="1">
      <alignment horizontal="center"/>
    </xf>
    <xf numFmtId="202" fontId="7" fillId="0" borderId="0" xfId="0" applyNumberFormat="1" applyFont="1"/>
    <xf numFmtId="177" fontId="7" fillId="0" borderId="0" xfId="0" applyNumberFormat="1" applyFont="1"/>
    <xf numFmtId="169" fontId="7" fillId="0" borderId="0" xfId="0" applyNumberFormat="1" applyFont="1" applyAlignment="1">
      <alignment horizontal="center"/>
    </xf>
    <xf numFmtId="168" fontId="15" fillId="0" borderId="2" xfId="0" applyNumberFormat="1" applyFont="1" applyBorder="1" applyAlignment="1">
      <alignment horizontal="center" vertical="center"/>
    </xf>
    <xf numFmtId="175" fontId="10" fillId="0" borderId="3" xfId="6" applyNumberFormat="1" applyFont="1" applyFill="1" applyBorder="1" applyAlignment="1">
      <alignment horizontal="right" vertical="center" wrapText="1"/>
    </xf>
    <xf numFmtId="0" fontId="0" fillId="5" borderId="0" xfId="0" applyFill="1"/>
    <xf numFmtId="0" fontId="63" fillId="0" borderId="0" xfId="0" applyFont="1" applyAlignment="1">
      <alignment wrapText="1"/>
    </xf>
    <xf numFmtId="0" fontId="63" fillId="0" borderId="0" xfId="0" applyFont="1" applyAlignment="1">
      <alignment horizontal="center"/>
    </xf>
    <xf numFmtId="0" fontId="3" fillId="0" borderId="0" xfId="0" applyFont="1" applyAlignment="1">
      <alignment horizontal="center" vertical="top"/>
    </xf>
    <xf numFmtId="1" fontId="63" fillId="0" borderId="0" xfId="0" applyNumberFormat="1" applyFont="1" applyAlignment="1">
      <alignment horizontal="center" vertical="top"/>
    </xf>
    <xf numFmtId="0" fontId="36" fillId="0" borderId="0" xfId="0" applyFont="1"/>
    <xf numFmtId="0" fontId="71" fillId="0" borderId="2" xfId="34" applyFont="1" applyBorder="1" applyAlignment="1">
      <alignment vertical="center"/>
    </xf>
    <xf numFmtId="185" fontId="71" fillId="0" borderId="0" xfId="0" applyNumberFormat="1" applyFont="1" applyAlignment="1">
      <alignment wrapText="1"/>
    </xf>
    <xf numFmtId="1" fontId="71" fillId="0" borderId="2" xfId="34" applyNumberFormat="1" applyFont="1" applyBorder="1" applyAlignment="1">
      <alignment horizontal="center" vertical="center" wrapText="1"/>
    </xf>
    <xf numFmtId="1" fontId="71" fillId="0" borderId="0" xfId="0" applyNumberFormat="1" applyFont="1" applyAlignment="1">
      <alignment wrapText="1"/>
    </xf>
    <xf numFmtId="0" fontId="71" fillId="0" borderId="2" xfId="34" quotePrefix="1" applyFont="1" applyBorder="1" applyAlignment="1">
      <alignment horizontal="left" vertical="center"/>
    </xf>
    <xf numFmtId="0" fontId="71" fillId="0" borderId="3" xfId="34" quotePrefix="1" applyFont="1" applyBorder="1" applyAlignment="1">
      <alignment horizontal="left" vertical="center"/>
    </xf>
    <xf numFmtId="0" fontId="71" fillId="0" borderId="0" xfId="34" quotePrefix="1" applyFont="1" applyAlignment="1">
      <alignment horizontal="left" vertical="center"/>
    </xf>
    <xf numFmtId="0" fontId="71" fillId="0" borderId="36" xfId="34" quotePrefix="1" applyFont="1" applyBorder="1" applyAlignment="1">
      <alignment horizontal="left" vertical="center"/>
    </xf>
    <xf numFmtId="0" fontId="71" fillId="0" borderId="44" xfId="34" quotePrefix="1" applyFont="1" applyBorder="1" applyAlignment="1">
      <alignment horizontal="left" vertical="center"/>
    </xf>
    <xf numFmtId="185" fontId="7" fillId="0" borderId="0" xfId="0" applyNumberFormat="1" applyFont="1" applyAlignment="1">
      <alignment wrapText="1"/>
    </xf>
    <xf numFmtId="1" fontId="7" fillId="0" borderId="0" xfId="0" applyNumberFormat="1" applyFont="1" applyAlignment="1">
      <alignment wrapText="1"/>
    </xf>
    <xf numFmtId="0" fontId="68" fillId="0" borderId="0" xfId="34" quotePrefix="1" applyFont="1" applyAlignment="1">
      <alignment vertical="center" wrapText="1"/>
    </xf>
    <xf numFmtId="0" fontId="15" fillId="0" borderId="2" xfId="0" applyFont="1" applyBorder="1" applyAlignment="1">
      <alignment horizontal="left" vertical="center" wrapText="1" indent="1"/>
    </xf>
    <xf numFmtId="0" fontId="9" fillId="0" borderId="0" xfId="0" applyFont="1" applyAlignment="1">
      <alignment horizontal="center" vertical="center" wrapText="1"/>
    </xf>
    <xf numFmtId="0" fontId="10" fillId="0" borderId="0" xfId="0" applyFont="1" applyAlignment="1">
      <alignment horizontal="left" vertical="top" wrapText="1"/>
    </xf>
    <xf numFmtId="41" fontId="9" fillId="0" borderId="2" xfId="39" applyFont="1" applyBorder="1" applyAlignment="1">
      <alignment horizontal="center" vertical="center" wrapText="1"/>
    </xf>
    <xf numFmtId="0" fontId="9" fillId="0" borderId="0" xfId="0" applyFont="1" applyAlignment="1">
      <alignment horizontal="center" vertical="center"/>
    </xf>
    <xf numFmtId="0" fontId="15" fillId="0" borderId="0" xfId="0" applyFont="1" applyAlignment="1">
      <alignment wrapText="1"/>
    </xf>
    <xf numFmtId="0" fontId="9" fillId="0" borderId="0" xfId="0" applyFont="1" applyAlignment="1">
      <alignment vertical="center" wrapText="1"/>
    </xf>
    <xf numFmtId="0" fontId="15" fillId="0" borderId="0" xfId="0" applyFont="1" applyAlignment="1">
      <alignment horizontal="center" wrapText="1"/>
    </xf>
    <xf numFmtId="0" fontId="23" fillId="0" borderId="2" xfId="3" applyFont="1" applyBorder="1" applyAlignment="1">
      <alignment horizontal="center" vertical="center" wrapText="1"/>
    </xf>
    <xf numFmtId="0" fontId="23" fillId="0" borderId="2" xfId="3" applyFont="1" applyBorder="1" applyAlignment="1">
      <alignment horizontal="center" vertical="top" wrapText="1"/>
    </xf>
    <xf numFmtId="0" fontId="49" fillId="0" borderId="2" xfId="3" applyFont="1" applyBorder="1" applyAlignment="1">
      <alignment horizontal="center" vertical="center" wrapText="1"/>
    </xf>
    <xf numFmtId="0" fontId="71" fillId="0" borderId="0" xfId="0" applyFont="1" applyAlignment="1">
      <alignment vertical="center"/>
    </xf>
    <xf numFmtId="166" fontId="58" fillId="0" borderId="2" xfId="3" applyNumberFormat="1" applyFont="1" applyBorder="1" applyAlignment="1">
      <alignment horizontal="center" vertical="center" wrapText="1"/>
    </xf>
    <xf numFmtId="166" fontId="58" fillId="0" borderId="2" xfId="3" applyNumberFormat="1" applyFont="1" applyBorder="1" applyAlignment="1">
      <alignment horizontal="left" vertical="center" wrapText="1"/>
    </xf>
    <xf numFmtId="0" fontId="58" fillId="0" borderId="2" xfId="0" applyFont="1" applyBorder="1" applyAlignment="1">
      <alignment vertical="center" wrapText="1"/>
    </xf>
    <xf numFmtId="0" fontId="25" fillId="0" borderId="2" xfId="3" applyFont="1" applyBorder="1" applyAlignment="1">
      <alignment horizontal="center" vertical="center" wrapText="1"/>
    </xf>
    <xf numFmtId="166" fontId="10" fillId="0" borderId="2" xfId="3" applyNumberFormat="1" applyFont="1" applyBorder="1" applyAlignment="1">
      <alignment horizontal="center" vertical="center" wrapText="1"/>
    </xf>
    <xf numFmtId="166" fontId="10" fillId="0" borderId="2" xfId="3" applyNumberFormat="1" applyFont="1" applyBorder="1" applyAlignment="1">
      <alignment horizontal="left" vertical="center" wrapText="1"/>
    </xf>
    <xf numFmtId="170" fontId="10" fillId="0" borderId="7" xfId="0" applyNumberFormat="1" applyFont="1" applyBorder="1" applyAlignment="1">
      <alignment horizontal="right" vertical="center" wrapText="1"/>
    </xf>
    <xf numFmtId="170" fontId="16" fillId="0" borderId="7" xfId="0" applyNumberFormat="1" applyFont="1" applyBorder="1" applyAlignment="1">
      <alignment horizontal="center" vertical="center" wrapText="1"/>
    </xf>
    <xf numFmtId="170" fontId="10" fillId="0" borderId="7" xfId="0" applyNumberFormat="1" applyFont="1" applyBorder="1" applyAlignment="1">
      <alignment horizontal="center" vertical="center" wrapText="1"/>
    </xf>
    <xf numFmtId="170" fontId="10" fillId="0" borderId="7" xfId="3" applyNumberFormat="1" applyFont="1" applyBorder="1" applyAlignment="1">
      <alignment horizontal="center" vertical="center" wrapText="1"/>
    </xf>
    <xf numFmtId="170" fontId="10" fillId="0" borderId="2" xfId="3" applyNumberFormat="1" applyFont="1" applyBorder="1" applyAlignment="1">
      <alignment horizontal="center" vertical="center" wrapText="1"/>
    </xf>
    <xf numFmtId="166" fontId="10" fillId="0" borderId="3" xfId="3" applyNumberFormat="1" applyFont="1" applyBorder="1" applyAlignment="1">
      <alignment horizontal="left" vertical="center" wrapText="1"/>
    </xf>
    <xf numFmtId="166" fontId="10" fillId="0" borderId="3" xfId="3" applyNumberFormat="1" applyFont="1" applyBorder="1" applyAlignment="1">
      <alignment horizontal="center" vertical="center" wrapText="1"/>
    </xf>
    <xf numFmtId="168" fontId="10" fillId="0" borderId="10" xfId="0" applyNumberFormat="1" applyFont="1" applyBorder="1" applyAlignment="1">
      <alignment horizontal="right" vertical="center" wrapText="1"/>
    </xf>
    <xf numFmtId="168" fontId="16" fillId="0" borderId="10" xfId="0" applyNumberFormat="1" applyFont="1" applyBorder="1" applyAlignment="1">
      <alignment horizontal="center" vertical="center" wrapText="1"/>
    </xf>
    <xf numFmtId="168" fontId="10" fillId="0" borderId="3" xfId="0" applyNumberFormat="1" applyFont="1" applyBorder="1" applyAlignment="1">
      <alignment horizontal="center" vertical="center" wrapText="1"/>
    </xf>
    <xf numFmtId="170" fontId="10" fillId="0" borderId="10" xfId="3" applyNumberFormat="1" applyFont="1" applyBorder="1" applyAlignment="1">
      <alignment horizontal="center" vertical="center" wrapText="1"/>
    </xf>
    <xf numFmtId="170" fontId="10" fillId="0" borderId="3" xfId="3" applyNumberFormat="1" applyFont="1" applyBorder="1" applyAlignment="1">
      <alignment horizontal="center" vertical="center" wrapText="1"/>
    </xf>
    <xf numFmtId="170" fontId="10" fillId="0" borderId="2" xfId="0" applyNumberFormat="1" applyFont="1" applyBorder="1" applyAlignment="1">
      <alignment horizontal="right" vertical="center" wrapText="1"/>
    </xf>
    <xf numFmtId="170" fontId="16" fillId="0" borderId="2" xfId="0" applyNumberFormat="1" applyFont="1" applyBorder="1" applyAlignment="1">
      <alignment horizontal="center" vertical="center" wrapText="1"/>
    </xf>
    <xf numFmtId="168" fontId="7" fillId="0" borderId="2" xfId="0" applyNumberFormat="1" applyFont="1" applyBorder="1" applyAlignment="1">
      <alignment horizontal="center" wrapText="1"/>
    </xf>
    <xf numFmtId="166" fontId="10" fillId="0" borderId="7" xfId="3" applyNumberFormat="1" applyFont="1" applyBorder="1" applyAlignment="1">
      <alignment horizontal="center" vertical="center" wrapText="1"/>
    </xf>
    <xf numFmtId="0" fontId="14" fillId="0" borderId="0" xfId="0" applyFont="1" applyAlignment="1">
      <alignment wrapText="1"/>
    </xf>
    <xf numFmtId="170" fontId="10" fillId="0" borderId="2" xfId="3" applyNumberFormat="1" applyFont="1" applyBorder="1" applyAlignment="1">
      <alignment horizontal="right" vertical="center" wrapText="1"/>
    </xf>
    <xf numFmtId="170" fontId="16" fillId="0" borderId="2" xfId="3" applyNumberFormat="1" applyFont="1" applyBorder="1" applyAlignment="1">
      <alignment horizontal="center" vertical="center" wrapText="1"/>
    </xf>
    <xf numFmtId="170" fontId="15" fillId="0" borderId="2" xfId="3" applyNumberFormat="1" applyFont="1" applyBorder="1" applyAlignment="1">
      <alignment horizontal="center" vertical="center" wrapText="1"/>
    </xf>
    <xf numFmtId="170" fontId="10" fillId="0" borderId="5" xfId="3" applyNumberFormat="1" applyFont="1" applyBorder="1" applyAlignment="1">
      <alignment horizontal="left" vertical="center" wrapText="1"/>
    </xf>
    <xf numFmtId="166" fontId="10" fillId="0" borderId="5" xfId="3" applyNumberFormat="1" applyFont="1" applyBorder="1" applyAlignment="1">
      <alignment horizontal="left" vertical="center" wrapText="1" shrinkToFit="1"/>
    </xf>
    <xf numFmtId="170" fontId="10" fillId="0" borderId="5" xfId="3" applyNumberFormat="1" applyFont="1" applyBorder="1" applyAlignment="1">
      <alignment horizontal="center" vertical="center" wrapText="1"/>
    </xf>
    <xf numFmtId="170" fontId="10" fillId="0" borderId="5" xfId="3" applyNumberFormat="1" applyFont="1" applyBorder="1" applyAlignment="1">
      <alignment horizontal="right" vertical="center" wrapText="1"/>
    </xf>
    <xf numFmtId="170" fontId="16" fillId="0" borderId="5" xfId="3" applyNumberFormat="1" applyFont="1" applyBorder="1" applyAlignment="1">
      <alignment horizontal="center" vertical="center" wrapText="1"/>
    </xf>
    <xf numFmtId="170" fontId="10" fillId="0" borderId="11" xfId="3" applyNumberFormat="1" applyFont="1" applyBorder="1" applyAlignment="1">
      <alignment horizontal="center" vertical="center" wrapText="1"/>
    </xf>
    <xf numFmtId="170" fontId="15" fillId="0" borderId="5" xfId="3" applyNumberFormat="1" applyFont="1" applyBorder="1" applyAlignment="1">
      <alignment horizontal="center" vertical="center" wrapText="1"/>
    </xf>
    <xf numFmtId="170" fontId="10" fillId="0" borderId="2" xfId="3" applyNumberFormat="1" applyFont="1" applyBorder="1" applyAlignment="1">
      <alignment horizontal="left" vertical="center" wrapText="1"/>
    </xf>
    <xf numFmtId="166" fontId="10" fillId="0" borderId="2" xfId="3" applyNumberFormat="1" applyFont="1" applyBorder="1" applyAlignment="1">
      <alignment horizontal="left" vertical="center" wrapText="1" shrinkToFit="1"/>
    </xf>
    <xf numFmtId="168" fontId="7" fillId="0" borderId="0" xfId="0" applyNumberFormat="1" applyFont="1" applyAlignment="1">
      <alignment horizontal="center" wrapText="1"/>
    </xf>
    <xf numFmtId="168" fontId="10" fillId="0" borderId="7" xfId="0" applyNumberFormat="1" applyFont="1" applyBorder="1" applyAlignment="1">
      <alignment horizontal="right" vertical="center" wrapText="1"/>
    </xf>
    <xf numFmtId="168" fontId="16" fillId="0" borderId="2" xfId="0" applyNumberFormat="1" applyFont="1" applyBorder="1" applyAlignment="1">
      <alignment horizontal="center" vertical="center" wrapText="1"/>
    </xf>
    <xf numFmtId="168" fontId="10" fillId="0" borderId="2" xfId="0" applyNumberFormat="1" applyFont="1" applyBorder="1" applyAlignment="1">
      <alignment horizontal="center" vertical="center" wrapText="1"/>
    </xf>
    <xf numFmtId="168" fontId="10" fillId="0" borderId="7" xfId="0" applyNumberFormat="1" applyFont="1" applyBorder="1" applyAlignment="1">
      <alignment horizontal="center" vertical="center" wrapText="1"/>
    </xf>
    <xf numFmtId="0" fontId="12" fillId="0" borderId="0" xfId="0" applyFont="1" applyAlignment="1">
      <alignment wrapText="1"/>
    </xf>
    <xf numFmtId="0" fontId="9" fillId="0" borderId="2" xfId="3" applyFont="1" applyBorder="1" applyAlignment="1">
      <alignment horizontal="center" vertical="top" wrapText="1"/>
    </xf>
    <xf numFmtId="166" fontId="10" fillId="0" borderId="2" xfId="3" applyNumberFormat="1" applyFont="1" applyBorder="1" applyAlignment="1">
      <alignment vertical="center" wrapText="1"/>
    </xf>
    <xf numFmtId="2" fontId="20" fillId="0" borderId="2" xfId="0" applyNumberFormat="1" applyFont="1" applyBorder="1" applyAlignment="1">
      <alignment horizontal="center" vertical="center" wrapText="1"/>
    </xf>
    <xf numFmtId="3" fontId="10" fillId="0" borderId="7" xfId="0" applyNumberFormat="1" applyFont="1" applyBorder="1" applyAlignment="1">
      <alignment horizontal="center" vertical="center" wrapText="1"/>
    </xf>
    <xf numFmtId="3" fontId="16" fillId="0" borderId="7" xfId="0" applyNumberFormat="1" applyFont="1" applyBorder="1" applyAlignment="1">
      <alignment horizontal="center" vertical="center" wrapText="1"/>
    </xf>
    <xf numFmtId="3" fontId="10" fillId="0" borderId="2" xfId="0" applyNumberFormat="1" applyFont="1" applyBorder="1" applyAlignment="1">
      <alignment horizontal="center" vertical="center" wrapText="1"/>
    </xf>
    <xf numFmtId="2" fontId="10" fillId="0" borderId="2" xfId="0" applyNumberFormat="1" applyFont="1" applyBorder="1" applyAlignment="1">
      <alignment vertical="center" wrapText="1" shrinkToFit="1"/>
    </xf>
    <xf numFmtId="2" fontId="10" fillId="0" borderId="2" xfId="0" applyNumberFormat="1" applyFont="1" applyBorder="1" applyAlignment="1">
      <alignment vertical="center" wrapText="1"/>
    </xf>
    <xf numFmtId="3" fontId="16" fillId="0" borderId="2" xfId="0" applyNumberFormat="1" applyFont="1" applyBorder="1" applyAlignment="1">
      <alignment horizontal="center" vertical="center" wrapText="1"/>
    </xf>
    <xf numFmtId="0" fontId="20" fillId="0" borderId="2" xfId="0" applyFont="1" applyBorder="1" applyAlignment="1">
      <alignment horizontal="center" vertical="center" wrapText="1"/>
    </xf>
    <xf numFmtId="2" fontId="20" fillId="0" borderId="2" xfId="0" applyNumberFormat="1" applyFont="1" applyBorder="1" applyAlignment="1">
      <alignment horizontal="left" vertical="center" wrapText="1"/>
    </xf>
    <xf numFmtId="177" fontId="10" fillId="0" borderId="2" xfId="0" applyNumberFormat="1" applyFont="1" applyBorder="1" applyAlignment="1">
      <alignment horizontal="center" vertical="center" wrapText="1"/>
    </xf>
    <xf numFmtId="177" fontId="16" fillId="0" borderId="2" xfId="0" applyNumberFormat="1" applyFont="1" applyBorder="1" applyAlignment="1">
      <alignment horizontal="center" vertical="center" wrapText="1"/>
    </xf>
    <xf numFmtId="0" fontId="10" fillId="0" borderId="0" xfId="0" applyFont="1" applyAlignment="1">
      <alignment vertical="center" wrapText="1"/>
    </xf>
    <xf numFmtId="0" fontId="9" fillId="0" borderId="2" xfId="3" applyFont="1" applyBorder="1" applyAlignment="1">
      <alignment horizontal="left" vertical="center" wrapText="1"/>
    </xf>
    <xf numFmtId="0" fontId="7" fillId="0" borderId="0" xfId="0" applyFont="1" applyAlignment="1">
      <alignment vertical="center" wrapText="1"/>
    </xf>
    <xf numFmtId="166" fontId="10" fillId="0" borderId="3" xfId="3" quotePrefix="1" applyNumberFormat="1" applyFont="1" applyBorder="1" applyAlignment="1">
      <alignment horizontal="right" vertical="center" wrapText="1"/>
    </xf>
    <xf numFmtId="166" fontId="16" fillId="0" borderId="3" xfId="3" quotePrefix="1" applyNumberFormat="1" applyFont="1" applyBorder="1" applyAlignment="1">
      <alignment horizontal="right" vertical="center" wrapText="1"/>
    </xf>
    <xf numFmtId="167" fontId="10" fillId="0" borderId="3" xfId="3" quotePrefix="1" applyNumberFormat="1" applyFont="1" applyBorder="1" applyAlignment="1">
      <alignment horizontal="right" vertical="center" wrapText="1"/>
    </xf>
    <xf numFmtId="166" fontId="10" fillId="0" borderId="4" xfId="3" quotePrefix="1" applyNumberFormat="1" applyFont="1" applyBorder="1" applyAlignment="1">
      <alignment horizontal="right" vertical="center" wrapText="1"/>
    </xf>
    <xf numFmtId="166" fontId="16" fillId="0" borderId="4" xfId="3" quotePrefix="1" applyNumberFormat="1" applyFont="1" applyBorder="1" applyAlignment="1">
      <alignment horizontal="right" vertical="center" wrapText="1"/>
    </xf>
    <xf numFmtId="167" fontId="10" fillId="0" borderId="4" xfId="3" quotePrefix="1" applyNumberFormat="1" applyFont="1" applyBorder="1" applyAlignment="1">
      <alignment horizontal="right" vertical="center" wrapText="1"/>
    </xf>
    <xf numFmtId="166" fontId="10" fillId="0" borderId="3" xfId="3" applyNumberFormat="1" applyFont="1" applyBorder="1" applyAlignment="1">
      <alignment vertical="center" wrapText="1"/>
    </xf>
    <xf numFmtId="168" fontId="10" fillId="0" borderId="4" xfId="0" applyNumberFormat="1" applyFont="1" applyBorder="1" applyAlignment="1">
      <alignment horizontal="right" vertical="center"/>
    </xf>
    <xf numFmtId="168" fontId="16" fillId="0" borderId="4" xfId="0" applyNumberFormat="1" applyFont="1" applyBorder="1" applyAlignment="1">
      <alignment horizontal="right" vertical="center"/>
    </xf>
    <xf numFmtId="0" fontId="7" fillId="0" borderId="1" xfId="0" applyFont="1" applyBorder="1" applyAlignment="1">
      <alignment vertical="center" wrapText="1"/>
    </xf>
    <xf numFmtId="0" fontId="7" fillId="0" borderId="2" xfId="0" applyFont="1" applyBorder="1" applyAlignment="1">
      <alignment wrapText="1"/>
    </xf>
    <xf numFmtId="0" fontId="12" fillId="0" borderId="2" xfId="0" applyFont="1" applyBorder="1" applyAlignment="1">
      <alignment wrapText="1"/>
    </xf>
    <xf numFmtId="166" fontId="10" fillId="0" borderId="5" xfId="3" applyNumberFormat="1" applyFont="1" applyBorder="1" applyAlignment="1">
      <alignment vertical="center" wrapText="1"/>
    </xf>
    <xf numFmtId="0" fontId="10" fillId="0" borderId="5" xfId="0" applyFont="1" applyBorder="1" applyAlignment="1">
      <alignment horizontal="right" vertical="center" wrapText="1"/>
    </xf>
    <xf numFmtId="0" fontId="16" fillId="0" borderId="5" xfId="0" applyFont="1" applyBorder="1" applyAlignment="1">
      <alignment horizontal="right" vertical="center" wrapText="1"/>
    </xf>
    <xf numFmtId="0" fontId="7" fillId="0" borderId="1" xfId="0" applyFont="1" applyBorder="1" applyAlignment="1">
      <alignment horizontal="left" vertical="center" indent="3"/>
    </xf>
    <xf numFmtId="168" fontId="10" fillId="0" borderId="3" xfId="0" applyNumberFormat="1" applyFont="1" applyBorder="1" applyAlignment="1">
      <alignment vertical="top"/>
    </xf>
    <xf numFmtId="0" fontId="13" fillId="0" borderId="0" xfId="0" applyFont="1" applyAlignment="1">
      <alignment horizontal="center" wrapText="1"/>
    </xf>
    <xf numFmtId="0" fontId="13" fillId="0" borderId="0" xfId="0" applyFont="1" applyAlignment="1">
      <alignment wrapText="1"/>
    </xf>
    <xf numFmtId="168" fontId="13" fillId="0" borderId="0" xfId="0" applyNumberFormat="1" applyFont="1" applyAlignment="1">
      <alignment wrapText="1"/>
    </xf>
    <xf numFmtId="0" fontId="12" fillId="0" borderId="2" xfId="0" applyFont="1" applyBorder="1" applyAlignment="1">
      <alignment vertical="center" wrapText="1"/>
    </xf>
    <xf numFmtId="168" fontId="10" fillId="0" borderId="5" xfId="0" applyNumberFormat="1" applyFont="1" applyBorder="1" applyAlignment="1">
      <alignment vertical="top"/>
    </xf>
    <xf numFmtId="0" fontId="12" fillId="0" borderId="2" xfId="0" applyFont="1" applyBorder="1" applyAlignment="1">
      <alignment horizontal="right" vertical="center" wrapText="1"/>
    </xf>
    <xf numFmtId="168" fontId="10" fillId="0" borderId="2" xfId="4" applyNumberFormat="1" applyFont="1" applyBorder="1" applyAlignment="1">
      <alignment horizontal="right" vertical="center" wrapText="1"/>
    </xf>
    <xf numFmtId="168" fontId="16" fillId="0" borderId="2" xfId="4" applyNumberFormat="1" applyFont="1" applyBorder="1" applyAlignment="1">
      <alignment horizontal="right" vertical="center" wrapText="1"/>
    </xf>
    <xf numFmtId="168" fontId="10" fillId="0" borderId="2" xfId="4" quotePrefix="1" applyNumberFormat="1" applyFont="1" applyBorder="1" applyAlignment="1">
      <alignment horizontal="right" vertical="center" wrapText="1"/>
    </xf>
    <xf numFmtId="0" fontId="7" fillId="0" borderId="1" xfId="0" applyFont="1" applyBorder="1" applyAlignment="1">
      <alignment horizontal="right" vertical="center" indent="3"/>
    </xf>
    <xf numFmtId="0" fontId="13" fillId="0" borderId="0" xfId="0" applyFont="1" applyAlignment="1">
      <alignment horizontal="right" wrapText="1"/>
    </xf>
    <xf numFmtId="168" fontId="13" fillId="0" borderId="0" xfId="0" applyNumberFormat="1" applyFont="1" applyAlignment="1">
      <alignment horizontal="right" wrapText="1"/>
    </xf>
    <xf numFmtId="0" fontId="7" fillId="0" borderId="0" xfId="0" applyFont="1" applyAlignment="1">
      <alignment horizontal="right" wrapText="1"/>
    </xf>
    <xf numFmtId="166" fontId="15" fillId="0" borderId="2" xfId="3" applyNumberFormat="1" applyFont="1" applyBorder="1" applyAlignment="1">
      <alignment horizontal="center" vertical="center" wrapText="1"/>
    </xf>
    <xf numFmtId="168" fontId="10" fillId="0" borderId="2" xfId="0" applyNumberFormat="1" applyFont="1" applyBorder="1" applyAlignment="1">
      <alignment horizontal="right" vertical="center" wrapText="1"/>
    </xf>
    <xf numFmtId="168" fontId="16" fillId="0" borderId="2" xfId="0" applyNumberFormat="1" applyFont="1" applyBorder="1" applyAlignment="1">
      <alignment horizontal="right" vertical="center" wrapText="1"/>
    </xf>
    <xf numFmtId="166" fontId="15" fillId="0" borderId="2" xfId="3" applyNumberFormat="1" applyFont="1" applyBorder="1" applyAlignment="1">
      <alignment horizontal="left" vertical="center" wrapText="1"/>
    </xf>
    <xf numFmtId="166" fontId="15" fillId="0" borderId="2" xfId="3" applyNumberFormat="1" applyFont="1" applyBorder="1" applyAlignment="1">
      <alignment horizontal="center" vertical="center" wrapText="1" shrinkToFit="1"/>
    </xf>
    <xf numFmtId="168" fontId="15" fillId="0" borderId="2" xfId="0" applyNumberFormat="1" applyFont="1" applyBorder="1" applyAlignment="1">
      <alignment horizontal="right" vertical="center" wrapText="1"/>
    </xf>
    <xf numFmtId="166" fontId="15" fillId="0" borderId="7" xfId="3" applyNumberFormat="1" applyFont="1" applyBorder="1" applyAlignment="1">
      <alignment vertical="center" wrapText="1"/>
    </xf>
    <xf numFmtId="166" fontId="15" fillId="0" borderId="8" xfId="3" applyNumberFormat="1" applyFont="1" applyBorder="1" applyAlignment="1">
      <alignment vertical="center" wrapText="1"/>
    </xf>
    <xf numFmtId="166" fontId="15" fillId="0" borderId="9" xfId="3" applyNumberFormat="1" applyFont="1" applyBorder="1" applyAlignment="1">
      <alignment vertical="center" wrapText="1"/>
    </xf>
    <xf numFmtId="166" fontId="16" fillId="0" borderId="9" xfId="3" applyNumberFormat="1" applyFont="1" applyBorder="1" applyAlignment="1">
      <alignment vertical="center" wrapText="1"/>
    </xf>
    <xf numFmtId="166" fontId="10" fillId="0" borderId="9" xfId="3" applyNumberFormat="1" applyFont="1" applyBorder="1" applyAlignment="1">
      <alignment vertical="center" wrapText="1"/>
    </xf>
    <xf numFmtId="0" fontId="14" fillId="0" borderId="2" xfId="0" applyFont="1" applyBorder="1" applyAlignment="1">
      <alignment wrapText="1"/>
    </xf>
    <xf numFmtId="168" fontId="15" fillId="0" borderId="2" xfId="0" applyNumberFormat="1" applyFont="1" applyBorder="1" applyAlignment="1">
      <alignment horizontal="right" vertical="center"/>
    </xf>
    <xf numFmtId="168" fontId="16" fillId="0" borderId="2" xfId="0" applyNumberFormat="1" applyFont="1" applyBorder="1" applyAlignment="1">
      <alignment horizontal="right" vertical="center"/>
    </xf>
    <xf numFmtId="0" fontId="7" fillId="0" borderId="0" xfId="0" applyFont="1" applyAlignment="1">
      <alignment horizontal="left" wrapText="1" indent="3"/>
    </xf>
    <xf numFmtId="0" fontId="7" fillId="0" borderId="0" xfId="0" applyFont="1" applyAlignment="1">
      <alignment horizontal="left" vertical="center"/>
    </xf>
    <xf numFmtId="0" fontId="7" fillId="0" borderId="0" xfId="0" applyFont="1" applyAlignment="1">
      <alignment horizontal="left" indent="3"/>
    </xf>
    <xf numFmtId="171" fontId="15" fillId="0" borderId="2" xfId="3" applyNumberFormat="1" applyFont="1" applyBorder="1" applyAlignment="1">
      <alignment horizontal="right" vertical="center" wrapText="1"/>
    </xf>
    <xf numFmtId="171" fontId="16" fillId="0" borderId="2" xfId="3" applyNumberFormat="1" applyFont="1" applyBorder="1" applyAlignment="1">
      <alignment horizontal="right" vertical="center" wrapText="1"/>
    </xf>
    <xf numFmtId="171" fontId="10" fillId="0" borderId="2" xfId="3" applyNumberFormat="1" applyFont="1" applyBorder="1" applyAlignment="1">
      <alignment horizontal="right" vertical="center" wrapText="1"/>
    </xf>
    <xf numFmtId="173" fontId="15" fillId="0" borderId="3" xfId="3" applyNumberFormat="1" applyFont="1" applyBorder="1" applyAlignment="1">
      <alignment horizontal="right" vertical="center" wrapText="1"/>
    </xf>
    <xf numFmtId="173" fontId="16" fillId="0" borderId="3" xfId="3" applyNumberFormat="1" applyFont="1" applyBorder="1" applyAlignment="1">
      <alignment horizontal="right" vertical="center" wrapText="1"/>
    </xf>
    <xf numFmtId="173" fontId="10" fillId="0" borderId="3" xfId="3" applyNumberFormat="1" applyFont="1" applyBorder="1" applyAlignment="1">
      <alignment horizontal="right" vertical="center" wrapText="1"/>
    </xf>
    <xf numFmtId="173" fontId="15" fillId="0" borderId="2" xfId="3" applyNumberFormat="1" applyFont="1" applyBorder="1" applyAlignment="1">
      <alignment horizontal="right" vertical="center" wrapText="1"/>
    </xf>
    <xf numFmtId="173" fontId="16" fillId="0" borderId="2" xfId="3" applyNumberFormat="1" applyFont="1" applyBorder="1" applyAlignment="1">
      <alignment horizontal="right" vertical="center" wrapText="1"/>
    </xf>
    <xf numFmtId="1" fontId="15" fillId="0" borderId="5" xfId="3" applyNumberFormat="1" applyFont="1" applyBorder="1" applyAlignment="1">
      <alignment horizontal="right" vertical="center" wrapText="1"/>
    </xf>
    <xf numFmtId="1" fontId="16" fillId="0" borderId="5" xfId="3" applyNumberFormat="1" applyFont="1" applyBorder="1" applyAlignment="1">
      <alignment horizontal="right" vertical="center" wrapText="1"/>
    </xf>
    <xf numFmtId="1" fontId="10" fillId="0" borderId="5" xfId="3" applyNumberFormat="1" applyFont="1" applyBorder="1" applyAlignment="1">
      <alignment horizontal="right" vertical="center" wrapText="1"/>
    </xf>
    <xf numFmtId="1" fontId="15" fillId="0" borderId="2" xfId="3" applyNumberFormat="1" applyFont="1" applyBorder="1" applyAlignment="1">
      <alignment horizontal="right" vertical="center" wrapText="1"/>
    </xf>
    <xf numFmtId="1" fontId="16" fillId="0" borderId="2" xfId="3" applyNumberFormat="1" applyFont="1" applyBorder="1" applyAlignment="1">
      <alignment horizontal="right" vertical="center" wrapText="1"/>
    </xf>
    <xf numFmtId="173" fontId="7" fillId="0" borderId="0" xfId="0" applyNumberFormat="1" applyFont="1" applyAlignment="1">
      <alignment wrapText="1"/>
    </xf>
    <xf numFmtId="173" fontId="10" fillId="0" borderId="2" xfId="3" applyNumberFormat="1" applyFont="1" applyBorder="1" applyAlignment="1">
      <alignment horizontal="right" vertical="center" wrapText="1"/>
    </xf>
    <xf numFmtId="176" fontId="15" fillId="0" borderId="3" xfId="3" applyNumberFormat="1" applyFont="1" applyBorder="1" applyAlignment="1">
      <alignment horizontal="right" vertical="center" wrapText="1"/>
    </xf>
    <xf numFmtId="176" fontId="16" fillId="0" borderId="3" xfId="3" applyNumberFormat="1" applyFont="1" applyBorder="1" applyAlignment="1">
      <alignment horizontal="right" vertical="center" wrapText="1"/>
    </xf>
    <xf numFmtId="176" fontId="10" fillId="0" borderId="3" xfId="3" applyNumberFormat="1" applyFont="1" applyBorder="1" applyAlignment="1">
      <alignment horizontal="right" vertical="center" wrapText="1"/>
    </xf>
    <xf numFmtId="0" fontId="7" fillId="0" borderId="2" xfId="0" applyFont="1" applyBorder="1" applyAlignment="1">
      <alignment horizontal="right" wrapText="1"/>
    </xf>
    <xf numFmtId="0" fontId="12" fillId="0" borderId="2" xfId="0" applyFont="1" applyBorder="1" applyAlignment="1">
      <alignment horizontal="right" wrapText="1"/>
    </xf>
    <xf numFmtId="0" fontId="10" fillId="0" borderId="0" xfId="0" applyFont="1" applyAlignment="1">
      <alignment wrapText="1"/>
    </xf>
    <xf numFmtId="0" fontId="10" fillId="0" borderId="0" xfId="0" applyFont="1" applyAlignment="1">
      <alignment horizontal="left" vertical="center" wrapText="1"/>
    </xf>
    <xf numFmtId="0" fontId="8" fillId="0" borderId="0" xfId="11" applyFont="1" applyFill="1"/>
    <xf numFmtId="0" fontId="50" fillId="0" borderId="0" xfId="11" applyFont="1" applyFill="1"/>
    <xf numFmtId="0" fontId="51" fillId="0" borderId="0" xfId="11" applyFont="1" applyFill="1"/>
    <xf numFmtId="0" fontId="51" fillId="0" borderId="0" xfId="11" applyFont="1" applyFill="1" applyAlignment="1">
      <alignment horizontal="center"/>
    </xf>
    <xf numFmtId="168" fontId="50" fillId="0" borderId="0" xfId="11" applyNumberFormat="1" applyFont="1" applyFill="1" applyAlignment="1">
      <alignment horizontal="center"/>
    </xf>
    <xf numFmtId="0" fontId="114" fillId="0" borderId="0" xfId="11" applyFont="1" applyFill="1"/>
    <xf numFmtId="0" fontId="114" fillId="0" borderId="0" xfId="12" applyFont="1"/>
    <xf numFmtId="1" fontId="114" fillId="0" borderId="0" xfId="12" applyNumberFormat="1" applyFont="1"/>
    <xf numFmtId="181" fontId="114" fillId="0" borderId="0" xfId="12" applyNumberFormat="1" applyFont="1" applyAlignment="1">
      <alignment horizontal="right"/>
    </xf>
    <xf numFmtId="181" fontId="51" fillId="0" borderId="0" xfId="12" applyNumberFormat="1" applyFont="1" applyAlignment="1">
      <alignment horizontal="right"/>
    </xf>
    <xf numFmtId="1" fontId="121" fillId="0" borderId="0" xfId="12" applyNumberFormat="1" applyFont="1"/>
    <xf numFmtId="181" fontId="121" fillId="0" borderId="0" xfId="12" applyNumberFormat="1" applyFont="1" applyAlignment="1">
      <alignment horizontal="right"/>
    </xf>
    <xf numFmtId="1" fontId="114" fillId="0" borderId="13" xfId="12" applyNumberFormat="1" applyFont="1" applyBorder="1"/>
    <xf numFmtId="181" fontId="114" fillId="0" borderId="13" xfId="12" applyNumberFormat="1" applyFont="1" applyBorder="1" applyAlignment="1">
      <alignment horizontal="right"/>
    </xf>
    <xf numFmtId="181" fontId="51" fillId="0" borderId="13" xfId="12" applyNumberFormat="1" applyFont="1" applyBorder="1" applyAlignment="1">
      <alignment horizontal="right"/>
    </xf>
    <xf numFmtId="0" fontId="9" fillId="0" borderId="0" xfId="0" applyFont="1"/>
    <xf numFmtId="0" fontId="10" fillId="0" borderId="0" xfId="0" applyFont="1"/>
    <xf numFmtId="0" fontId="10" fillId="0" borderId="2" xfId="0" applyFont="1" applyBorder="1"/>
    <xf numFmtId="168" fontId="10" fillId="0" borderId="2" xfId="0" applyNumberFormat="1" applyFont="1" applyBorder="1" applyAlignment="1">
      <alignment horizontal="center" vertical="center"/>
    </xf>
    <xf numFmtId="0" fontId="10" fillId="0" borderId="0" xfId="0" applyFont="1" applyAlignment="1">
      <alignment horizontal="center" vertical="center"/>
    </xf>
    <xf numFmtId="0" fontId="10" fillId="0" borderId="2" xfId="0" applyFont="1" applyBorder="1" applyAlignment="1">
      <alignment horizontal="center" vertical="center"/>
    </xf>
    <xf numFmtId="0" fontId="10" fillId="0" borderId="2" xfId="0" applyFont="1" applyBorder="1" applyAlignment="1">
      <alignment horizontal="center" vertical="center" wrapText="1"/>
    </xf>
    <xf numFmtId="168" fontId="10" fillId="0" borderId="2" xfId="4" applyNumberFormat="1" applyFont="1" applyBorder="1" applyAlignment="1">
      <alignment horizontal="center" vertical="center" wrapText="1"/>
    </xf>
    <xf numFmtId="169" fontId="10" fillId="0" borderId="2" xfId="1" applyNumberFormat="1" applyFont="1" applyFill="1" applyBorder="1" applyAlignment="1">
      <alignment horizontal="center" vertical="center" wrapText="1"/>
    </xf>
    <xf numFmtId="0" fontId="10" fillId="0" borderId="0" xfId="0" applyFont="1" applyAlignment="1">
      <alignment horizontal="center" vertical="center" wrapText="1"/>
    </xf>
    <xf numFmtId="0" fontId="10" fillId="0" borderId="21" xfId="0" applyFont="1" applyBorder="1"/>
    <xf numFmtId="0" fontId="10" fillId="0" borderId="22" xfId="0" applyFont="1" applyBorder="1"/>
    <xf numFmtId="0" fontId="9" fillId="0" borderId="16" xfId="0" applyFont="1" applyBorder="1" applyAlignment="1">
      <alignment horizontal="center" vertical="center"/>
    </xf>
    <xf numFmtId="0" fontId="10" fillId="0" borderId="16" xfId="0" applyFont="1" applyBorder="1" applyAlignment="1">
      <alignment vertical="center"/>
    </xf>
    <xf numFmtId="0" fontId="10" fillId="0" borderId="23" xfId="0" applyFont="1" applyBorder="1"/>
    <xf numFmtId="0" fontId="10" fillId="0" borderId="24" xfId="0" applyFont="1" applyBorder="1"/>
    <xf numFmtId="0" fontId="10" fillId="0" borderId="0" xfId="14" applyFont="1" applyFill="1" applyBorder="1"/>
    <xf numFmtId="0" fontId="9" fillId="0" borderId="0" xfId="14" applyFont="1" applyFill="1" applyBorder="1"/>
    <xf numFmtId="0" fontId="10" fillId="0" borderId="0" xfId="14" applyFont="1" applyFill="1"/>
    <xf numFmtId="178" fontId="9" fillId="0" borderId="0" xfId="14" applyNumberFormat="1" applyFont="1" applyFill="1" applyAlignment="1">
      <alignment horizontal="right"/>
    </xf>
    <xf numFmtId="178" fontId="10" fillId="0" borderId="0" xfId="14" applyNumberFormat="1" applyFont="1" applyFill="1" applyAlignment="1">
      <alignment horizontal="right"/>
    </xf>
    <xf numFmtId="0" fontId="9" fillId="0" borderId="0" xfId="14" applyFont="1" applyFill="1"/>
    <xf numFmtId="178" fontId="9" fillId="0" borderId="0" xfId="14" applyNumberFormat="1" applyFont="1" applyFill="1" applyBorder="1" applyAlignment="1">
      <alignment horizontal="right"/>
    </xf>
    <xf numFmtId="0" fontId="10" fillId="0" borderId="0" xfId="16" applyFont="1"/>
    <xf numFmtId="0" fontId="0" fillId="0" borderId="0" xfId="0" applyAlignment="1">
      <alignment horizontal="center" vertical="center"/>
    </xf>
    <xf numFmtId="0" fontId="120" fillId="0" borderId="0" xfId="5" applyFont="1" applyFill="1" applyAlignment="1" applyProtection="1"/>
    <xf numFmtId="0" fontId="10" fillId="0" borderId="12" xfId="0" applyFont="1" applyBorder="1" applyAlignment="1" applyProtection="1">
      <alignment vertical="center" wrapText="1" shrinkToFit="1"/>
      <protection locked="0"/>
    </xf>
    <xf numFmtId="0" fontId="10" fillId="0" borderId="0" xfId="0" applyFont="1" applyAlignment="1">
      <alignment horizontal="left"/>
    </xf>
    <xf numFmtId="0" fontId="15" fillId="0" borderId="2" xfId="0" applyFont="1" applyBorder="1"/>
    <xf numFmtId="0" fontId="10" fillId="0" borderId="2" xfId="0" applyFont="1" applyBorder="1" applyAlignment="1">
      <alignment horizontal="left" vertical="top" wrapText="1"/>
    </xf>
    <xf numFmtId="0" fontId="36" fillId="0" borderId="2" xfId="0" applyFont="1" applyBorder="1" applyAlignment="1">
      <alignment horizontal="center" vertical="top" wrapText="1"/>
    </xf>
    <xf numFmtId="168" fontId="15" fillId="0" borderId="2" xfId="0" applyNumberFormat="1" applyFont="1" applyBorder="1"/>
    <xf numFmtId="0" fontId="15" fillId="0" borderId="2" xfId="0" applyFont="1" applyBorder="1" applyAlignment="1">
      <alignment horizontal="left" vertical="top" wrapText="1"/>
    </xf>
    <xf numFmtId="9" fontId="15" fillId="0" borderId="6" xfId="1" applyFont="1" applyFill="1" applyBorder="1"/>
    <xf numFmtId="1" fontId="15" fillId="0" borderId="2" xfId="1" applyNumberFormat="1" applyFont="1" applyFill="1" applyBorder="1"/>
    <xf numFmtId="1" fontId="15" fillId="0" borderId="2" xfId="0" applyNumberFormat="1" applyFont="1" applyBorder="1" applyAlignment="1">
      <alignment horizontal="center" vertical="center"/>
    </xf>
    <xf numFmtId="1" fontId="15" fillId="0" borderId="8" xfId="0" applyNumberFormat="1" applyFont="1" applyBorder="1" applyAlignment="1">
      <alignment horizontal="center" vertical="center"/>
    </xf>
    <xf numFmtId="1" fontId="15" fillId="0" borderId="9" xfId="0" applyNumberFormat="1" applyFont="1" applyBorder="1" applyAlignment="1">
      <alignment horizontal="center" vertical="center"/>
    </xf>
    <xf numFmtId="0" fontId="15" fillId="0" borderId="2" xfId="0" applyFont="1" applyBorder="1" applyAlignment="1">
      <alignment horizontal="center" vertical="top" wrapText="1"/>
    </xf>
    <xf numFmtId="2" fontId="15" fillId="0" borderId="2" xfId="0" applyNumberFormat="1" applyFont="1" applyBorder="1" applyAlignment="1">
      <alignment horizontal="center" vertical="top" wrapText="1"/>
    </xf>
    <xf numFmtId="168" fontId="15" fillId="0" borderId="2" xfId="0" applyNumberFormat="1" applyFont="1" applyBorder="1" applyAlignment="1">
      <alignment horizontal="center" vertical="top" wrapText="1"/>
    </xf>
    <xf numFmtId="0" fontId="9" fillId="0" borderId="2" xfId="24" applyFont="1" applyBorder="1" applyAlignment="1">
      <alignment horizontal="center" vertical="center" wrapText="1"/>
    </xf>
    <xf numFmtId="168" fontId="9" fillId="0" borderId="2" xfId="24" applyNumberFormat="1" applyFont="1" applyBorder="1" applyAlignment="1">
      <alignment horizontal="center" vertical="center" wrapText="1"/>
    </xf>
    <xf numFmtId="0" fontId="36" fillId="0" borderId="2" xfId="24" applyFont="1" applyBorder="1" applyAlignment="1">
      <alignment horizontal="center" vertical="center" wrapText="1"/>
    </xf>
    <xf numFmtId="0" fontId="10" fillId="0" borderId="2" xfId="24" applyFont="1" applyBorder="1" applyAlignment="1">
      <alignment horizontal="center" vertical="center" wrapText="1"/>
    </xf>
    <xf numFmtId="0" fontId="10" fillId="0" borderId="2" xfId="25" applyFont="1" applyBorder="1" applyAlignment="1">
      <alignment vertical="center"/>
    </xf>
    <xf numFmtId="168" fontId="10" fillId="0" borderId="2" xfId="24" applyNumberFormat="1" applyFont="1" applyBorder="1" applyAlignment="1">
      <alignment horizontal="center" vertical="center" wrapText="1"/>
    </xf>
    <xf numFmtId="2" fontId="10" fillId="0" borderId="2" xfId="24" applyNumberFormat="1" applyFont="1" applyBorder="1" applyAlignment="1">
      <alignment horizontal="center" vertical="center" wrapText="1"/>
    </xf>
    <xf numFmtId="0" fontId="9" fillId="0" borderId="2" xfId="24" applyFont="1" applyBorder="1" applyAlignment="1">
      <alignment vertical="center" wrapText="1"/>
    </xf>
    <xf numFmtId="0" fontId="10" fillId="0" borderId="2" xfId="24" applyFont="1" applyBorder="1" applyAlignment="1">
      <alignment horizontal="left" vertical="center" wrapText="1"/>
    </xf>
    <xf numFmtId="0" fontId="10" fillId="0" borderId="2" xfId="24" applyFont="1" applyBorder="1" applyAlignment="1">
      <alignment vertical="center" wrapText="1"/>
    </xf>
    <xf numFmtId="0" fontId="10" fillId="0" borderId="0" xfId="24" applyFont="1" applyAlignment="1">
      <alignment horizontal="left" vertical="center" wrapText="1"/>
    </xf>
    <xf numFmtId="169" fontId="9" fillId="0" borderId="0" xfId="26" applyNumberFormat="1" applyFont="1" applyFill="1" applyBorder="1" applyAlignment="1">
      <alignment horizontal="center" vertical="center" wrapText="1"/>
    </xf>
    <xf numFmtId="0" fontId="10" fillId="0" borderId="0" xfId="24" applyFont="1" applyAlignment="1">
      <alignment horizontal="center" vertical="center" wrapText="1"/>
    </xf>
    <xf numFmtId="0" fontId="15" fillId="0" borderId="0" xfId="0" applyFont="1" applyAlignment="1">
      <alignment horizontal="center"/>
    </xf>
    <xf numFmtId="0" fontId="119" fillId="0" borderId="0" xfId="5" applyFont="1" applyFill="1" applyAlignment="1" applyProtection="1"/>
    <xf numFmtId="0" fontId="36" fillId="0" borderId="2" xfId="3" applyFont="1" applyBorder="1" applyAlignment="1">
      <alignment horizontal="center" vertical="center" wrapText="1"/>
    </xf>
    <xf numFmtId="2" fontId="10" fillId="0" borderId="2" xfId="0" applyNumberFormat="1" applyFont="1" applyBorder="1" applyAlignment="1">
      <alignment horizontal="center" vertical="center"/>
    </xf>
    <xf numFmtId="0" fontId="10" fillId="0" borderId="2" xfId="0" applyFont="1" applyBorder="1" applyAlignment="1">
      <alignment horizontal="left" vertical="center" indent="1"/>
    </xf>
    <xf numFmtId="0" fontId="10" fillId="0" borderId="2" xfId="0" applyFont="1" applyBorder="1" applyAlignment="1">
      <alignment horizontal="left" vertical="center" wrapText="1" indent="1"/>
    </xf>
    <xf numFmtId="0" fontId="9" fillId="0" borderId="2" xfId="30" applyFont="1" applyBorder="1" applyAlignment="1">
      <alignment horizontal="left" vertical="center"/>
    </xf>
    <xf numFmtId="168" fontId="10" fillId="0" borderId="2" xfId="30" applyNumberFormat="1" applyFont="1" applyBorder="1" applyAlignment="1">
      <alignment horizontal="center" vertical="center"/>
    </xf>
    <xf numFmtId="168" fontId="10" fillId="0" borderId="2" xfId="30" quotePrefix="1" applyNumberFormat="1" applyFont="1" applyBorder="1" applyAlignment="1">
      <alignment horizontal="center" vertical="center"/>
    </xf>
    <xf numFmtId="185" fontId="10" fillId="0" borderId="0" xfId="0" applyNumberFormat="1" applyFont="1"/>
    <xf numFmtId="194" fontId="10" fillId="0" borderId="0" xfId="0" applyNumberFormat="1" applyFont="1"/>
    <xf numFmtId="195" fontId="10" fillId="0" borderId="0" xfId="0" applyNumberFormat="1" applyFont="1"/>
    <xf numFmtId="196" fontId="10" fillId="0" borderId="0" xfId="0" applyNumberFormat="1" applyFont="1"/>
    <xf numFmtId="197" fontId="10" fillId="0" borderId="0" xfId="0" applyNumberFormat="1" applyFont="1"/>
    <xf numFmtId="192" fontId="10" fillId="0" borderId="0" xfId="0" applyNumberFormat="1" applyFont="1"/>
    <xf numFmtId="188" fontId="10" fillId="0" borderId="0" xfId="0" applyNumberFormat="1" applyFont="1"/>
    <xf numFmtId="0" fontId="9" fillId="0" borderId="2" xfId="16" applyFont="1" applyBorder="1" applyAlignment="1">
      <alignment horizontal="left" vertical="center" wrapText="1"/>
    </xf>
    <xf numFmtId="168" fontId="9" fillId="0" borderId="2" xfId="16" applyNumberFormat="1" applyFont="1" applyBorder="1" applyAlignment="1">
      <alignment horizontal="center" vertical="center" wrapText="1"/>
    </xf>
    <xf numFmtId="168" fontId="10" fillId="0" borderId="0" xfId="24" applyNumberFormat="1" applyFont="1" applyAlignment="1">
      <alignment horizontal="right" vertical="center"/>
    </xf>
    <xf numFmtId="0" fontId="9" fillId="0" borderId="2" xfId="31" applyFont="1" applyBorder="1" applyAlignment="1">
      <alignment horizontal="center" vertical="center" wrapText="1"/>
    </xf>
    <xf numFmtId="169" fontId="10" fillId="0" borderId="0" xfId="1" applyNumberFormat="1" applyFont="1" applyFill="1" applyAlignment="1">
      <alignment horizontal="left" vertical="center" wrapText="1"/>
    </xf>
    <xf numFmtId="0" fontId="9" fillId="0" borderId="0" xfId="31" applyFont="1" applyAlignment="1">
      <alignment horizontal="center" vertical="center" wrapText="1"/>
    </xf>
    <xf numFmtId="0" fontId="10" fillId="0" borderId="5" xfId="31" applyFont="1" applyBorder="1" applyAlignment="1">
      <alignment vertical="center"/>
    </xf>
    <xf numFmtId="2" fontId="10" fillId="0" borderId="5" xfId="31" applyNumberFormat="1" applyFont="1" applyBorder="1" applyAlignment="1">
      <alignment horizontal="center" vertical="center"/>
    </xf>
    <xf numFmtId="0" fontId="10" fillId="0" borderId="2" xfId="31" applyFont="1" applyBorder="1" applyAlignment="1">
      <alignment vertical="center"/>
    </xf>
    <xf numFmtId="2" fontId="10" fillId="0" borderId="2" xfId="31" applyNumberFormat="1" applyFont="1" applyBorder="1" applyAlignment="1">
      <alignment horizontal="center" vertical="center"/>
    </xf>
    <xf numFmtId="0" fontId="10" fillId="0" borderId="2" xfId="31" applyFont="1" applyBorder="1"/>
    <xf numFmtId="0" fontId="10" fillId="0" borderId="2" xfId="31" applyFont="1" applyBorder="1" applyAlignment="1">
      <alignment vertical="center" wrapText="1"/>
    </xf>
    <xf numFmtId="0" fontId="9" fillId="0" borderId="2" xfId="31" applyFont="1" applyBorder="1" applyAlignment="1">
      <alignment horizontal="center" vertical="center"/>
    </xf>
    <xf numFmtId="0" fontId="36" fillId="0" borderId="45" xfId="0" applyFont="1" applyBorder="1" applyAlignment="1">
      <alignment horizontal="center" vertical="center"/>
    </xf>
    <xf numFmtId="41" fontId="120" fillId="0" borderId="0" xfId="5" applyNumberFormat="1" applyFont="1" applyFill="1" applyAlignment="1" applyProtection="1">
      <alignment vertical="center"/>
    </xf>
    <xf numFmtId="41" fontId="10" fillId="0" borderId="0" xfId="39" applyFont="1" applyAlignment="1">
      <alignment vertical="center"/>
    </xf>
    <xf numFmtId="41" fontId="9" fillId="0" borderId="2" xfId="39" applyFont="1" applyBorder="1" applyAlignment="1">
      <alignment horizontal="right" vertical="center"/>
    </xf>
    <xf numFmtId="41" fontId="10" fillId="0" borderId="0" xfId="39" applyFont="1" applyAlignment="1">
      <alignment horizontal="center" vertical="center"/>
    </xf>
    <xf numFmtId="0" fontId="10" fillId="0" borderId="0" xfId="0" applyFont="1" applyAlignment="1">
      <alignment horizontal="center"/>
    </xf>
    <xf numFmtId="0" fontId="9" fillId="0" borderId="0" xfId="0" applyFont="1" applyAlignment="1">
      <alignment horizontal="right" vertical="center"/>
    </xf>
    <xf numFmtId="0" fontId="9" fillId="0" borderId="0" xfId="0" applyFont="1" applyAlignment="1">
      <alignment vertical="center"/>
    </xf>
    <xf numFmtId="0" fontId="9" fillId="0" borderId="2" xfId="0" applyFont="1" applyBorder="1"/>
    <xf numFmtId="169" fontId="10" fillId="0" borderId="2" xfId="0" applyNumberFormat="1" applyFont="1" applyBorder="1"/>
    <xf numFmtId="0" fontId="9" fillId="0" borderId="2" xfId="44" applyFont="1" applyBorder="1" applyAlignment="1">
      <alignment horizontal="center" vertical="center" wrapText="1"/>
    </xf>
    <xf numFmtId="0" fontId="63" fillId="0" borderId="0" xfId="0" applyFont="1" applyAlignment="1">
      <alignment horizontal="center" wrapText="1"/>
    </xf>
    <xf numFmtId="0" fontId="10" fillId="0" borderId="0" xfId="0" applyFont="1" applyAlignment="1">
      <alignment horizontal="center" wrapText="1"/>
    </xf>
    <xf numFmtId="0" fontId="9" fillId="0" borderId="2" xfId="55" applyFont="1" applyBorder="1" applyAlignment="1">
      <alignment horizontal="center" vertical="center" wrapText="1"/>
    </xf>
    <xf numFmtId="182" fontId="10" fillId="0" borderId="2" xfId="0" applyNumberFormat="1" applyFont="1" applyBorder="1" applyAlignment="1">
      <alignment horizontal="center" vertical="center" wrapText="1"/>
    </xf>
    <xf numFmtId="182" fontId="9" fillId="0" borderId="2" xfId="0" applyNumberFormat="1" applyFont="1" applyBorder="1" applyAlignment="1">
      <alignment horizontal="center" vertical="center" wrapText="1"/>
    </xf>
    <xf numFmtId="182" fontId="10" fillId="0" borderId="2" xfId="59" applyNumberFormat="1" applyFont="1" applyBorder="1" applyAlignment="1">
      <alignment horizontal="center" vertical="center" wrapText="1"/>
    </xf>
    <xf numFmtId="0" fontId="10" fillId="0" borderId="12" xfId="0" applyFont="1" applyBorder="1" applyAlignment="1">
      <alignment horizontal="center" wrapText="1"/>
    </xf>
    <xf numFmtId="0" fontId="10" fillId="0" borderId="2" xfId="31" applyFont="1" applyBorder="1" applyAlignment="1">
      <alignment horizontal="center" vertical="center"/>
    </xf>
    <xf numFmtId="0" fontId="10" fillId="0" borderId="7" xfId="0" applyFont="1" applyBorder="1" applyAlignment="1">
      <alignment vertical="center" wrapText="1"/>
    </xf>
    <xf numFmtId="0" fontId="10" fillId="0" borderId="8" xfId="0" applyFont="1" applyBorder="1" applyAlignment="1">
      <alignment vertical="center" wrapText="1"/>
    </xf>
    <xf numFmtId="0" fontId="10" fillId="0" borderId="2" xfId="0" quotePrefix="1" applyFont="1" applyBorder="1" applyAlignment="1">
      <alignment vertical="center" wrapText="1"/>
    </xf>
    <xf numFmtId="0" fontId="10" fillId="0" borderId="2" xfId="0" quotePrefix="1" applyFont="1" applyBorder="1" applyAlignment="1">
      <alignment horizontal="left" vertical="center" wrapText="1"/>
    </xf>
    <xf numFmtId="0" fontId="7" fillId="0" borderId="17" xfId="0" applyFont="1" applyBorder="1"/>
    <xf numFmtId="0" fontId="7" fillId="0" borderId="22" xfId="0" applyFont="1" applyBorder="1"/>
    <xf numFmtId="0" fontId="10" fillId="0" borderId="23" xfId="0" applyFont="1" applyBorder="1" applyAlignment="1">
      <alignment horizontal="center"/>
    </xf>
    <xf numFmtId="0" fontId="9" fillId="0" borderId="16" xfId="0" applyFont="1" applyBorder="1" applyAlignment="1">
      <alignment horizontal="justify" vertical="center" wrapText="1"/>
    </xf>
    <xf numFmtId="0" fontId="9" fillId="0" borderId="33" xfId="55" applyFont="1" applyBorder="1" applyAlignment="1">
      <alignment horizontal="center" vertical="center" wrapText="1"/>
    </xf>
    <xf numFmtId="182" fontId="10" fillId="0" borderId="33" xfId="0" applyNumberFormat="1" applyFont="1" applyBorder="1" applyAlignment="1">
      <alignment horizontal="center" vertical="center" wrapText="1"/>
    </xf>
    <xf numFmtId="182" fontId="9" fillId="0" borderId="33" xfId="0" applyNumberFormat="1" applyFont="1" applyBorder="1" applyAlignment="1">
      <alignment horizontal="center" vertical="center" wrapText="1"/>
    </xf>
    <xf numFmtId="182" fontId="10" fillId="0" borderId="33" xfId="59" applyNumberFormat="1" applyFont="1" applyBorder="1" applyAlignment="1">
      <alignment horizontal="center" vertical="center" wrapText="1"/>
    </xf>
    <xf numFmtId="0" fontId="10" fillId="0" borderId="55" xfId="59" applyFont="1" applyBorder="1" applyAlignment="1">
      <alignment vertical="center"/>
    </xf>
    <xf numFmtId="0" fontId="10" fillId="0" borderId="51" xfId="0" applyFont="1" applyBorder="1" applyAlignment="1">
      <alignment horizontal="center" wrapText="1"/>
    </xf>
    <xf numFmtId="0" fontId="10" fillId="0" borderId="20" xfId="0" applyFont="1" applyBorder="1" applyAlignment="1">
      <alignment vertical="top" wrapText="1"/>
    </xf>
    <xf numFmtId="0" fontId="10" fillId="0" borderId="21" xfId="0" applyFont="1" applyBorder="1" applyAlignment="1">
      <alignment horizontal="center" wrapText="1"/>
    </xf>
    <xf numFmtId="0" fontId="10" fillId="0" borderId="20" xfId="0" applyFont="1" applyBorder="1" applyAlignment="1">
      <alignment wrapText="1"/>
    </xf>
    <xf numFmtId="0" fontId="10" fillId="0" borderId="23" xfId="0" applyFont="1" applyBorder="1" applyAlignment="1">
      <alignment horizontal="center" wrapText="1"/>
    </xf>
    <xf numFmtId="0" fontId="10" fillId="0" borderId="24" xfId="0" applyFont="1" applyBorder="1" applyAlignment="1">
      <alignment horizontal="center" wrapText="1"/>
    </xf>
    <xf numFmtId="0" fontId="10" fillId="0" borderId="20" xfId="0" applyFont="1" applyBorder="1"/>
    <xf numFmtId="0" fontId="10" fillId="0" borderId="16" xfId="0" applyFont="1" applyBorder="1" applyAlignment="1">
      <alignment horizontal="left" vertical="center" wrapText="1"/>
    </xf>
    <xf numFmtId="0" fontId="0" fillId="0" borderId="17" xfId="0" applyBorder="1"/>
    <xf numFmtId="0" fontId="0" fillId="0" borderId="19" xfId="0" applyBorder="1"/>
    <xf numFmtId="0" fontId="117" fillId="0" borderId="0" xfId="0" applyFont="1" applyAlignment="1">
      <alignment horizontal="center" vertical="center"/>
    </xf>
    <xf numFmtId="0" fontId="3" fillId="5" borderId="0" xfId="0" applyFont="1" applyFill="1"/>
    <xf numFmtId="0" fontId="0" fillId="0" borderId="24" xfId="0" applyBorder="1"/>
    <xf numFmtId="0" fontId="71" fillId="0" borderId="2" xfId="0" applyFont="1" applyBorder="1" applyAlignment="1">
      <alignment vertical="center"/>
    </xf>
    <xf numFmtId="0" fontId="58" fillId="0" borderId="2" xfId="0" applyFont="1" applyBorder="1" applyAlignment="1">
      <alignment vertical="center"/>
    </xf>
    <xf numFmtId="0" fontId="71" fillId="0" borderId="2" xfId="0" applyFont="1" applyBorder="1" applyAlignment="1">
      <alignment vertical="center" wrapText="1"/>
    </xf>
    <xf numFmtId="0" fontId="10" fillId="0" borderId="33" xfId="0" applyFont="1" applyBorder="1" applyAlignment="1">
      <alignment vertical="center"/>
    </xf>
    <xf numFmtId="0" fontId="10" fillId="0" borderId="31" xfId="0" applyFont="1" applyBorder="1" applyAlignment="1">
      <alignment vertical="center" wrapText="1"/>
    </xf>
    <xf numFmtId="0" fontId="10" fillId="0" borderId="20" xfId="0" applyFont="1" applyBorder="1" applyAlignment="1">
      <alignment horizontal="left" vertical="center"/>
    </xf>
    <xf numFmtId="0" fontId="10" fillId="0" borderId="0" xfId="31" applyFont="1" applyAlignment="1">
      <alignment vertical="center"/>
    </xf>
    <xf numFmtId="0" fontId="10" fillId="0" borderId="21" xfId="31" applyFont="1" applyBorder="1" applyAlignment="1">
      <alignment vertical="center"/>
    </xf>
    <xf numFmtId="0" fontId="10" fillId="0" borderId="21" xfId="0" applyFont="1" applyBorder="1" applyAlignment="1">
      <alignment vertical="center" wrapText="1"/>
    </xf>
    <xf numFmtId="0" fontId="120" fillId="0" borderId="21" xfId="5" applyFont="1" applyFill="1" applyBorder="1" applyAlignment="1" applyProtection="1">
      <alignment vertical="center" wrapText="1"/>
    </xf>
    <xf numFmtId="0" fontId="10" fillId="0" borderId="0" xfId="31" applyFont="1" applyAlignment="1">
      <alignment horizontal="center" vertical="center"/>
    </xf>
    <xf numFmtId="0" fontId="9" fillId="0" borderId="33" xfId="31" applyFont="1" applyBorder="1" applyAlignment="1">
      <alignment vertical="center" wrapText="1"/>
    </xf>
    <xf numFmtId="0" fontId="10" fillId="0" borderId="33" xfId="31" applyFont="1" applyBorder="1" applyAlignment="1">
      <alignment horizontal="right" vertical="center"/>
    </xf>
    <xf numFmtId="0" fontId="10" fillId="0" borderId="20" xfId="31" applyFont="1" applyBorder="1" applyAlignment="1">
      <alignment vertical="center"/>
    </xf>
    <xf numFmtId="186" fontId="10" fillId="0" borderId="0" xfId="31" applyNumberFormat="1" applyFont="1" applyAlignment="1">
      <alignment vertical="center"/>
    </xf>
    <xf numFmtId="2" fontId="10" fillId="0" borderId="0" xfId="31" applyNumberFormat="1" applyFont="1" applyAlignment="1">
      <alignment vertical="center"/>
    </xf>
    <xf numFmtId="0" fontId="36" fillId="0" borderId="20" xfId="0" applyFont="1" applyBorder="1" applyAlignment="1">
      <alignment horizontal="center"/>
    </xf>
    <xf numFmtId="0" fontId="36" fillId="0" borderId="21" xfId="0" applyFont="1" applyBorder="1" applyAlignment="1">
      <alignment horizontal="center"/>
    </xf>
    <xf numFmtId="0" fontId="71" fillId="0" borderId="16" xfId="0" applyFont="1" applyBorder="1" applyAlignment="1">
      <alignment vertical="center"/>
    </xf>
    <xf numFmtId="0" fontId="71" fillId="0" borderId="33" xfId="0" applyFont="1" applyBorder="1" applyAlignment="1">
      <alignment vertical="center"/>
    </xf>
    <xf numFmtId="0" fontId="58" fillId="0" borderId="16" xfId="0" applyFont="1" applyBorder="1" applyAlignment="1">
      <alignment vertical="center"/>
    </xf>
    <xf numFmtId="186" fontId="10" fillId="0" borderId="2" xfId="31" applyNumberFormat="1" applyFont="1" applyBorder="1" applyAlignment="1">
      <alignment horizontal="center" vertical="center"/>
    </xf>
    <xf numFmtId="186" fontId="10" fillId="0" borderId="33" xfId="31" applyNumberFormat="1" applyFont="1" applyBorder="1" applyAlignment="1">
      <alignment horizontal="center" vertical="center"/>
    </xf>
    <xf numFmtId="0" fontId="15" fillId="0" borderId="20" xfId="0" applyFont="1" applyBorder="1"/>
    <xf numFmtId="0" fontId="34" fillId="0" borderId="2" xfId="0" applyFont="1" applyBorder="1" applyAlignment="1">
      <alignment horizontal="center" vertical="center" wrapText="1"/>
    </xf>
    <xf numFmtId="0" fontId="15" fillId="0" borderId="22" xfId="0" applyFont="1" applyBorder="1"/>
    <xf numFmtId="168" fontId="15" fillId="0" borderId="0" xfId="0" applyNumberFormat="1" applyFont="1"/>
    <xf numFmtId="0" fontId="47" fillId="0" borderId="0" xfId="0" applyFont="1" applyAlignment="1">
      <alignment horizontal="center"/>
    </xf>
    <xf numFmtId="0" fontId="44" fillId="0" borderId="16" xfId="0" applyFont="1" applyBorder="1" applyAlignment="1">
      <alignment vertical="center"/>
    </xf>
    <xf numFmtId="0" fontId="67" fillId="0" borderId="16" xfId="0" applyFont="1" applyBorder="1" applyAlignment="1">
      <alignment horizontal="left" vertical="center"/>
    </xf>
    <xf numFmtId="0" fontId="37" fillId="0" borderId="22" xfId="0" applyFont="1" applyBorder="1" applyAlignment="1">
      <alignment horizontal="left" vertical="top" wrapText="1"/>
    </xf>
    <xf numFmtId="0" fontId="7" fillId="0" borderId="20" xfId="0" applyFont="1" applyBorder="1" applyAlignment="1">
      <alignment wrapText="1"/>
    </xf>
    <xf numFmtId="170" fontId="58" fillId="0" borderId="7" xfId="0" applyNumberFormat="1" applyFont="1" applyBorder="1" applyAlignment="1">
      <alignment horizontal="right" vertical="center" wrapText="1"/>
    </xf>
    <xf numFmtId="170" fontId="35" fillId="0" borderId="7" xfId="0" applyNumberFormat="1" applyFont="1" applyBorder="1" applyAlignment="1">
      <alignment horizontal="center" vertical="center" wrapText="1"/>
    </xf>
    <xf numFmtId="170" fontId="58" fillId="0" borderId="7" xfId="0" applyNumberFormat="1" applyFont="1" applyBorder="1" applyAlignment="1">
      <alignment horizontal="center" vertical="center" wrapText="1"/>
    </xf>
    <xf numFmtId="170" fontId="58" fillId="0" borderId="7" xfId="3" applyNumberFormat="1" applyFont="1" applyBorder="1" applyAlignment="1">
      <alignment horizontal="center" vertical="center" wrapText="1"/>
    </xf>
    <xf numFmtId="170" fontId="58" fillId="0" borderId="2" xfId="3" applyNumberFormat="1" applyFont="1" applyBorder="1" applyAlignment="1">
      <alignment horizontal="center" vertical="center" wrapText="1"/>
    </xf>
    <xf numFmtId="170" fontId="58" fillId="0" borderId="2" xfId="3" applyNumberFormat="1" applyFont="1" applyBorder="1" applyAlignment="1">
      <alignment horizontal="left" vertical="center" wrapText="1"/>
    </xf>
    <xf numFmtId="170" fontId="58" fillId="0" borderId="2" xfId="7" applyNumberFormat="1" applyFont="1" applyFill="1" applyBorder="1" applyAlignment="1">
      <alignment horizontal="right" vertical="center" wrapText="1"/>
    </xf>
    <xf numFmtId="170" fontId="35" fillId="0" borderId="2" xfId="7" applyNumberFormat="1" applyFont="1" applyFill="1" applyBorder="1" applyAlignment="1">
      <alignment horizontal="center" vertical="center" wrapText="1"/>
    </xf>
    <xf numFmtId="170" fontId="58" fillId="0" borderId="2" xfId="7" applyNumberFormat="1" applyFont="1" applyFill="1" applyBorder="1" applyAlignment="1">
      <alignment horizontal="center" vertical="center" wrapText="1"/>
    </xf>
    <xf numFmtId="168" fontId="58" fillId="0" borderId="7" xfId="0" applyNumberFormat="1" applyFont="1" applyBorder="1" applyAlignment="1">
      <alignment horizontal="right" vertical="center" wrapText="1"/>
    </xf>
    <xf numFmtId="168" fontId="35" fillId="0" borderId="2" xfId="0" applyNumberFormat="1" applyFont="1" applyBorder="1" applyAlignment="1">
      <alignment horizontal="center" vertical="center" wrapText="1"/>
    </xf>
    <xf numFmtId="168" fontId="58" fillId="0" borderId="2" xfId="0" applyNumberFormat="1" applyFont="1" applyBorder="1" applyAlignment="1">
      <alignment horizontal="center" vertical="center" wrapText="1"/>
    </xf>
    <xf numFmtId="168" fontId="58" fillId="0" borderId="7" xfId="0" applyNumberFormat="1" applyFont="1" applyBorder="1" applyAlignment="1">
      <alignment horizontal="center" vertical="center" wrapText="1"/>
    </xf>
    <xf numFmtId="166" fontId="58" fillId="0" borderId="2" xfId="3" applyNumberFormat="1" applyFont="1" applyBorder="1" applyAlignment="1">
      <alignment vertical="center" wrapText="1"/>
    </xf>
    <xf numFmtId="2" fontId="107" fillId="0" borderId="2" xfId="0" applyNumberFormat="1" applyFont="1" applyBorder="1" applyAlignment="1">
      <alignment horizontal="center" vertical="center" wrapText="1"/>
    </xf>
    <xf numFmtId="3" fontId="58" fillId="0" borderId="7" xfId="0" applyNumberFormat="1" applyFont="1" applyBorder="1" applyAlignment="1">
      <alignment horizontal="center" vertical="center" wrapText="1"/>
    </xf>
    <xf numFmtId="3" fontId="35" fillId="0" borderId="7" xfId="0" applyNumberFormat="1" applyFont="1" applyBorder="1" applyAlignment="1">
      <alignment horizontal="center" vertical="center" wrapText="1"/>
    </xf>
    <xf numFmtId="3" fontId="58" fillId="0" borderId="2" xfId="0" applyNumberFormat="1" applyFont="1" applyBorder="1" applyAlignment="1">
      <alignment horizontal="center" vertical="center" wrapText="1"/>
    </xf>
    <xf numFmtId="0" fontId="23" fillId="0" borderId="16" xfId="3" applyFont="1" applyBorder="1" applyAlignment="1">
      <alignment horizontal="center" vertical="center" wrapText="1"/>
    </xf>
    <xf numFmtId="0" fontId="23" fillId="0" borderId="33" xfId="3" applyFont="1" applyBorder="1" applyAlignment="1">
      <alignment horizontal="center" vertical="center" wrapText="1"/>
    </xf>
    <xf numFmtId="166" fontId="58" fillId="0" borderId="16" xfId="3" applyNumberFormat="1" applyFont="1" applyBorder="1" applyAlignment="1">
      <alignment horizontal="center" vertical="center" wrapText="1"/>
    </xf>
    <xf numFmtId="166" fontId="58" fillId="0" borderId="30" xfId="3" applyNumberFormat="1" applyFont="1" applyBorder="1" applyAlignment="1">
      <alignment horizontal="center" vertical="center" wrapText="1"/>
    </xf>
    <xf numFmtId="0" fontId="71" fillId="0" borderId="30" xfId="0" applyFont="1" applyBorder="1" applyAlignment="1">
      <alignment vertical="center"/>
    </xf>
    <xf numFmtId="0" fontId="71" fillId="0" borderId="8" xfId="0" applyFont="1" applyBorder="1" applyAlignment="1">
      <alignment vertical="center"/>
    </xf>
    <xf numFmtId="0" fontId="34" fillId="0" borderId="31" xfId="0" applyFont="1" applyBorder="1" applyAlignment="1">
      <alignment horizontal="right" vertical="center"/>
    </xf>
    <xf numFmtId="0" fontId="34" fillId="0" borderId="32" xfId="0" applyFont="1" applyBorder="1" applyAlignment="1">
      <alignment horizontal="center" vertical="center" wrapText="1"/>
    </xf>
    <xf numFmtId="0" fontId="34" fillId="0" borderId="3" xfId="0" applyFont="1" applyBorder="1" applyAlignment="1">
      <alignment horizontal="left" vertical="center" wrapText="1"/>
    </xf>
    <xf numFmtId="0" fontId="34" fillId="0" borderId="33" xfId="0" applyFont="1" applyBorder="1" applyAlignment="1">
      <alignment horizontal="center" vertical="center" wrapText="1"/>
    </xf>
    <xf numFmtId="0" fontId="34" fillId="0" borderId="2" xfId="0" applyFont="1" applyBorder="1" applyAlignment="1">
      <alignment vertical="center"/>
    </xf>
    <xf numFmtId="2" fontId="71" fillId="0" borderId="2" xfId="0" applyNumberFormat="1" applyFont="1" applyBorder="1" applyAlignment="1">
      <alignment horizontal="right" vertical="center" indent="2"/>
    </xf>
    <xf numFmtId="0" fontId="71" fillId="0" borderId="20" xfId="0" applyFont="1" applyBorder="1" applyAlignment="1">
      <alignment vertical="center"/>
    </xf>
    <xf numFmtId="0" fontId="34" fillId="0" borderId="21" xfId="0" applyFont="1" applyBorder="1" applyAlignment="1">
      <alignment vertical="center"/>
    </xf>
    <xf numFmtId="0" fontId="71" fillId="0" borderId="2" xfId="11" applyFont="1" applyFill="1" applyBorder="1"/>
    <xf numFmtId="0" fontId="34" fillId="0" borderId="2" xfId="11" applyFont="1" applyFill="1" applyBorder="1"/>
    <xf numFmtId="0" fontId="58" fillId="0" borderId="2" xfId="11" applyFont="1" applyFill="1" applyBorder="1"/>
    <xf numFmtId="0" fontId="23" fillId="0" borderId="2" xfId="0" applyFont="1" applyBorder="1" applyAlignment="1">
      <alignment horizontal="center" vertical="center" wrapText="1"/>
    </xf>
    <xf numFmtId="1" fontId="71" fillId="0" borderId="2" xfId="11" applyNumberFormat="1" applyFont="1" applyFill="1" applyBorder="1" applyAlignment="1">
      <alignment vertical="center"/>
    </xf>
    <xf numFmtId="1" fontId="34" fillId="0" borderId="2" xfId="11" applyNumberFormat="1" applyFont="1" applyFill="1" applyBorder="1" applyAlignment="1">
      <alignment vertical="center"/>
    </xf>
    <xf numFmtId="1" fontId="23" fillId="0" borderId="2" xfId="11" applyNumberFormat="1" applyFont="1" applyFill="1" applyBorder="1" applyAlignment="1">
      <alignment vertical="center"/>
    </xf>
    <xf numFmtId="0" fontId="71" fillId="0" borderId="16" xfId="11" applyFont="1" applyFill="1" applyBorder="1" applyAlignment="1">
      <alignment horizontal="center" vertical="center"/>
    </xf>
    <xf numFmtId="0" fontId="34" fillId="0" borderId="16" xfId="11" applyFont="1" applyFill="1" applyBorder="1" applyAlignment="1">
      <alignment horizontal="center" vertical="center"/>
    </xf>
    <xf numFmtId="0" fontId="23" fillId="0" borderId="16" xfId="0" applyFont="1" applyBorder="1" applyAlignment="1">
      <alignment horizontal="left" vertical="top" wrapText="1"/>
    </xf>
    <xf numFmtId="168" fontId="23" fillId="0" borderId="2" xfId="0" applyNumberFormat="1" applyFont="1" applyBorder="1" applyAlignment="1">
      <alignment horizontal="center" vertical="center" wrapText="1"/>
    </xf>
    <xf numFmtId="0" fontId="58" fillId="0" borderId="0" xfId="0" applyFont="1"/>
    <xf numFmtId="0" fontId="58" fillId="0" borderId="21" xfId="0" applyFont="1" applyBorder="1"/>
    <xf numFmtId="0" fontId="23" fillId="0" borderId="16" xfId="0" applyFont="1" applyBorder="1" applyAlignment="1">
      <alignment horizontal="left" vertical="top"/>
    </xf>
    <xf numFmtId="0" fontId="58" fillId="0" borderId="2" xfId="0" applyFont="1" applyBorder="1"/>
    <xf numFmtId="0" fontId="58" fillId="0" borderId="33" xfId="0" applyFont="1" applyBorder="1"/>
    <xf numFmtId="1" fontId="58" fillId="0" borderId="2" xfId="0" applyNumberFormat="1" applyFont="1" applyBorder="1" applyAlignment="1">
      <alignment horizontal="center"/>
    </xf>
    <xf numFmtId="0" fontId="58" fillId="0" borderId="16" xfId="0" applyFont="1" applyBorder="1" applyAlignment="1">
      <alignment horizontal="left" vertical="top"/>
    </xf>
    <xf numFmtId="1" fontId="58" fillId="0" borderId="7" xfId="0" applyNumberFormat="1" applyFont="1" applyBorder="1" applyAlignment="1">
      <alignment horizontal="center"/>
    </xf>
    <xf numFmtId="0" fontId="58" fillId="0" borderId="20" xfId="0" applyFont="1" applyBorder="1"/>
    <xf numFmtId="2" fontId="58" fillId="0" borderId="2" xfId="0" applyNumberFormat="1" applyFont="1" applyBorder="1" applyAlignment="1">
      <alignment horizontal="center"/>
    </xf>
    <xf numFmtId="1" fontId="58" fillId="0" borderId="2" xfId="0" applyNumberFormat="1" applyFont="1" applyBorder="1" applyAlignment="1">
      <alignment horizontal="center" vertical="center"/>
    </xf>
    <xf numFmtId="10" fontId="23" fillId="0" borderId="16" xfId="0" applyNumberFormat="1" applyFont="1" applyBorder="1" applyAlignment="1">
      <alignment horizontal="left" vertical="top"/>
    </xf>
    <xf numFmtId="1" fontId="23" fillId="0" borderId="2" xfId="0" applyNumberFormat="1" applyFont="1" applyBorder="1" applyAlignment="1">
      <alignment horizontal="center" vertical="center"/>
    </xf>
    <xf numFmtId="0" fontId="58" fillId="0" borderId="7" xfId="0" applyFont="1" applyBorder="1"/>
    <xf numFmtId="0" fontId="23" fillId="0" borderId="7" xfId="0" applyFont="1" applyBorder="1" applyAlignment="1">
      <alignment horizontal="center" vertical="center" wrapText="1"/>
    </xf>
    <xf numFmtId="0" fontId="58" fillId="0" borderId="16" xfId="0" applyFont="1" applyBorder="1" applyAlignment="1">
      <alignment horizontal="right" vertical="top"/>
    </xf>
    <xf numFmtId="10" fontId="58" fillId="0" borderId="16" xfId="0" applyNumberFormat="1" applyFont="1" applyBorder="1" applyAlignment="1">
      <alignment horizontal="right" vertical="top"/>
    </xf>
    <xf numFmtId="0" fontId="23" fillId="0" borderId="16" xfId="0" applyFont="1" applyBorder="1" applyAlignment="1">
      <alignment horizontal="right" vertical="top"/>
    </xf>
    <xf numFmtId="1" fontId="23" fillId="0" borderId="7" xfId="0" applyNumberFormat="1" applyFont="1" applyBorder="1" applyAlignment="1">
      <alignment horizontal="center" vertical="center"/>
    </xf>
    <xf numFmtId="183" fontId="58" fillId="0" borderId="0" xfId="6" applyNumberFormat="1" applyFont="1" applyFill="1" applyBorder="1" applyAlignment="1">
      <alignment horizontal="right"/>
    </xf>
    <xf numFmtId="184" fontId="58" fillId="0" borderId="0" xfId="6" applyNumberFormat="1" applyFont="1" applyFill="1" applyBorder="1" applyAlignment="1">
      <alignment horizontal="right"/>
    </xf>
    <xf numFmtId="0" fontId="23" fillId="0" borderId="16" xfId="0" applyFont="1" applyBorder="1" applyAlignment="1">
      <alignment vertical="center"/>
    </xf>
    <xf numFmtId="168" fontId="23" fillId="0" borderId="2" xfId="0" applyNumberFormat="1" applyFont="1" applyBorder="1" applyAlignment="1">
      <alignment horizontal="center" vertical="center"/>
    </xf>
    <xf numFmtId="0" fontId="58" fillId="0" borderId="16" xfId="0" applyFont="1" applyBorder="1" applyAlignment="1">
      <alignment horizontal="left" vertical="center"/>
    </xf>
    <xf numFmtId="168" fontId="58" fillId="0" borderId="2" xfId="0" applyNumberFormat="1" applyFont="1" applyBorder="1" applyAlignment="1">
      <alignment horizontal="right" vertical="center" indent="1"/>
    </xf>
    <xf numFmtId="168" fontId="58" fillId="0" borderId="2" xfId="0" applyNumberFormat="1" applyFont="1" applyBorder="1" applyAlignment="1">
      <alignment horizontal="center" vertical="center"/>
    </xf>
    <xf numFmtId="0" fontId="23" fillId="0" borderId="16" xfId="0" applyFont="1" applyBorder="1" applyAlignment="1">
      <alignment horizontal="left" vertical="center"/>
    </xf>
    <xf numFmtId="168" fontId="23" fillId="0" borderId="2" xfId="0" applyNumberFormat="1" applyFont="1" applyBorder="1" applyAlignment="1">
      <alignment horizontal="right" vertical="center" indent="1"/>
    </xf>
    <xf numFmtId="185" fontId="23" fillId="0" borderId="2" xfId="0" applyNumberFormat="1" applyFont="1" applyBorder="1" applyAlignment="1">
      <alignment horizontal="right" vertical="center" indent="1"/>
    </xf>
    <xf numFmtId="2" fontId="58" fillId="0" borderId="2" xfId="0" applyNumberFormat="1" applyFont="1" applyBorder="1" applyAlignment="1">
      <alignment horizontal="right" vertical="center" indent="1"/>
    </xf>
    <xf numFmtId="2" fontId="58" fillId="0" borderId="2" xfId="0" quotePrefix="1" applyNumberFormat="1" applyFont="1" applyBorder="1" applyAlignment="1">
      <alignment horizontal="center" vertical="center"/>
    </xf>
    <xf numFmtId="186" fontId="58" fillId="0" borderId="2" xfId="0" applyNumberFormat="1" applyFont="1" applyBorder="1" applyAlignment="1">
      <alignment horizontal="center" vertical="center"/>
    </xf>
    <xf numFmtId="0" fontId="23" fillId="0" borderId="16" xfId="0" quotePrefix="1" applyFont="1" applyBorder="1" applyAlignment="1">
      <alignment horizontal="left" vertical="center"/>
    </xf>
    <xf numFmtId="0" fontId="23" fillId="0" borderId="2" xfId="0" applyFont="1" applyBorder="1" applyAlignment="1">
      <alignment horizontal="center" vertical="center"/>
    </xf>
    <xf numFmtId="0" fontId="9" fillId="0" borderId="0" xfId="4" applyFont="1" applyAlignment="1">
      <alignment vertical="center" wrapText="1"/>
    </xf>
    <xf numFmtId="0" fontId="10" fillId="0" borderId="20" xfId="4" applyFont="1" applyBorder="1" applyAlignment="1">
      <alignment horizontal="left" vertical="center"/>
    </xf>
    <xf numFmtId="0" fontId="58" fillId="0" borderId="22" xfId="0" applyFont="1" applyBorder="1"/>
    <xf numFmtId="0" fontId="129" fillId="0" borderId="0" xfId="0" applyFont="1"/>
    <xf numFmtId="0" fontId="69" fillId="0" borderId="2" xfId="0" applyFont="1" applyBorder="1" applyAlignment="1">
      <alignment horizontal="left" vertical="center"/>
    </xf>
    <xf numFmtId="0" fontId="69" fillId="0" borderId="33" xfId="0" applyFont="1" applyBorder="1" applyAlignment="1">
      <alignment horizontal="center" vertical="center"/>
    </xf>
    <xf numFmtId="0" fontId="23" fillId="0" borderId="16" xfId="0" applyFont="1" applyBorder="1" applyAlignment="1">
      <alignment horizontal="center" vertical="center"/>
    </xf>
    <xf numFmtId="0" fontId="58" fillId="0" borderId="23" xfId="0" applyFont="1" applyBorder="1"/>
    <xf numFmtId="0" fontId="69" fillId="0" borderId="16" xfId="0" applyFont="1" applyBorder="1" applyAlignment="1">
      <alignment horizontal="center" vertical="center"/>
    </xf>
    <xf numFmtId="0" fontId="124" fillId="0" borderId="16" xfId="0" applyFont="1" applyBorder="1" applyAlignment="1">
      <alignment horizontal="center" vertical="center"/>
    </xf>
    <xf numFmtId="0" fontId="124" fillId="0" borderId="16" xfId="0" applyFont="1" applyBorder="1" applyAlignment="1">
      <alignment vertical="center"/>
    </xf>
    <xf numFmtId="2" fontId="58" fillId="0" borderId="0" xfId="16" applyNumberFormat="1" applyFont="1"/>
    <xf numFmtId="0" fontId="56" fillId="0" borderId="2" xfId="0" applyFont="1" applyBorder="1" applyAlignment="1">
      <alignment horizontal="center" vertical="center" wrapText="1"/>
    </xf>
    <xf numFmtId="0" fontId="23" fillId="0" borderId="2" xfId="22" applyFont="1" applyBorder="1" applyAlignment="1">
      <alignment horizontal="center" vertical="center" wrapText="1"/>
    </xf>
    <xf numFmtId="3" fontId="58" fillId="0" borderId="2" xfId="0" applyNumberFormat="1" applyFont="1" applyBorder="1" applyAlignment="1">
      <alignment horizontal="center" vertical="center"/>
    </xf>
    <xf numFmtId="0" fontId="23" fillId="0" borderId="16" xfId="22" applyFont="1" applyBorder="1" applyAlignment="1">
      <alignment horizontal="left" vertical="center" wrapText="1"/>
    </xf>
    <xf numFmtId="0" fontId="23" fillId="0" borderId="33" xfId="22" applyFont="1" applyBorder="1" applyAlignment="1">
      <alignment horizontal="center" vertical="center" wrapText="1"/>
    </xf>
    <xf numFmtId="177" fontId="58" fillId="0" borderId="33" xfId="0" applyNumberFormat="1" applyFont="1" applyBorder="1" applyAlignment="1">
      <alignment horizontal="center" vertical="center"/>
    </xf>
    <xf numFmtId="0" fontId="15" fillId="0" borderId="21" xfId="0" applyFont="1" applyBorder="1"/>
    <xf numFmtId="0" fontId="15" fillId="0" borderId="23" xfId="0" applyFont="1" applyBorder="1"/>
    <xf numFmtId="0" fontId="15" fillId="0" borderId="24" xfId="0" applyFont="1" applyBorder="1"/>
    <xf numFmtId="0" fontId="56" fillId="0" borderId="20" xfId="23" applyFont="1" applyBorder="1" applyAlignment="1">
      <alignment horizontal="left" vertical="center" wrapText="1"/>
    </xf>
    <xf numFmtId="0" fontId="56" fillId="0" borderId="13" xfId="23" applyFont="1" applyBorder="1" applyAlignment="1">
      <alignment vertical="center" wrapText="1"/>
    </xf>
    <xf numFmtId="0" fontId="56" fillId="0" borderId="0" xfId="23" applyFont="1" applyAlignment="1">
      <alignment vertical="center" wrapText="1"/>
    </xf>
    <xf numFmtId="0" fontId="130" fillId="0" borderId="21" xfId="0" applyFont="1" applyBorder="1"/>
    <xf numFmtId="0" fontId="56" fillId="0" borderId="16" xfId="23" applyFont="1" applyBorder="1" applyAlignment="1">
      <alignment horizontal="left" vertical="center" wrapText="1"/>
    </xf>
    <xf numFmtId="0" fontId="132" fillId="0" borderId="16" xfId="0" applyFont="1" applyBorder="1" applyAlignment="1" applyProtection="1">
      <alignment horizontal="left" vertical="center"/>
      <protection locked="0"/>
    </xf>
    <xf numFmtId="0" fontId="129" fillId="0" borderId="16" xfId="0" applyFont="1" applyBorder="1" applyAlignment="1" applyProtection="1">
      <alignment horizontal="left" vertical="center"/>
      <protection locked="0"/>
    </xf>
    <xf numFmtId="0" fontId="129" fillId="0" borderId="20" xfId="0" applyFont="1" applyBorder="1" applyAlignment="1" applyProtection="1">
      <alignment horizontal="left" vertical="center"/>
      <protection locked="0"/>
    </xf>
    <xf numFmtId="0" fontId="132" fillId="0" borderId="0" xfId="0" applyFont="1" applyAlignment="1" applyProtection="1">
      <alignment horizontal="center" vertical="center"/>
      <protection locked="0"/>
    </xf>
    <xf numFmtId="0" fontId="132" fillId="0" borderId="21" xfId="0" applyFont="1" applyBorder="1" applyAlignment="1" applyProtection="1">
      <alignment horizontal="center" vertical="center"/>
      <protection locked="0"/>
    </xf>
    <xf numFmtId="0" fontId="130" fillId="0" borderId="20" xfId="0" applyFont="1" applyBorder="1"/>
    <xf numFmtId="0" fontId="130" fillId="0" borderId="0" xfId="0" applyFont="1" applyAlignment="1">
      <alignment horizontal="left"/>
    </xf>
    <xf numFmtId="0" fontId="130" fillId="0" borderId="0" xfId="0" applyFont="1"/>
    <xf numFmtId="0" fontId="130" fillId="0" borderId="22" xfId="0" applyFont="1" applyBorder="1"/>
    <xf numFmtId="0" fontId="130" fillId="0" borderId="23" xfId="0" applyFont="1" applyBorder="1"/>
    <xf numFmtId="0" fontId="130" fillId="0" borderId="24" xfId="0" applyFont="1" applyBorder="1"/>
    <xf numFmtId="0" fontId="58" fillId="0" borderId="16" xfId="0" applyFont="1" applyBorder="1" applyAlignment="1">
      <alignment vertical="center" wrapText="1"/>
    </xf>
    <xf numFmtId="0" fontId="58" fillId="0" borderId="21" xfId="0" applyFont="1" applyBorder="1" applyAlignment="1">
      <alignment horizontal="center"/>
    </xf>
    <xf numFmtId="0" fontId="58" fillId="0" borderId="24" xfId="0" applyFont="1" applyBorder="1" applyAlignment="1">
      <alignment horizontal="center"/>
    </xf>
    <xf numFmtId="0" fontId="9" fillId="0" borderId="16" xfId="0" applyFont="1" applyBorder="1" applyAlignment="1">
      <alignment horizontal="right" vertical="center"/>
    </xf>
    <xf numFmtId="0" fontId="23" fillId="0" borderId="16" xfId="0" applyFont="1" applyBorder="1" applyAlignment="1">
      <alignment horizontal="right" vertical="center"/>
    </xf>
    <xf numFmtId="0" fontId="58" fillId="0" borderId="0" xfId="0" applyFont="1" applyAlignment="1">
      <alignment horizontal="center"/>
    </xf>
    <xf numFmtId="0" fontId="58" fillId="0" borderId="23" xfId="0" applyFont="1" applyBorder="1" applyAlignment="1">
      <alignment horizontal="center"/>
    </xf>
    <xf numFmtId="0" fontId="23" fillId="0" borderId="49" xfId="0" applyFont="1" applyBorder="1" applyAlignment="1">
      <alignment horizontal="center" vertical="center"/>
    </xf>
    <xf numFmtId="0" fontId="36" fillId="0" borderId="0" xfId="0" applyFont="1" applyAlignment="1">
      <alignment horizontal="left" vertical="center" wrapText="1"/>
    </xf>
    <xf numFmtId="0" fontId="36" fillId="0" borderId="21" xfId="0" applyFont="1" applyBorder="1" applyAlignment="1">
      <alignment horizontal="left" vertical="center" wrapText="1"/>
    </xf>
    <xf numFmtId="0" fontId="15" fillId="0" borderId="0" xfId="34" applyFont="1" applyAlignment="1">
      <alignment horizontal="left" vertical="center" wrapText="1"/>
    </xf>
    <xf numFmtId="0" fontId="15" fillId="0" borderId="21" xfId="34" applyFont="1" applyBorder="1" applyAlignment="1">
      <alignment horizontal="left" vertical="center" wrapText="1"/>
    </xf>
    <xf numFmtId="166" fontId="133" fillId="0" borderId="2" xfId="3" applyNumberFormat="1" applyFont="1" applyBorder="1" applyAlignment="1">
      <alignment horizontal="left" vertical="center" wrapText="1"/>
    </xf>
    <xf numFmtId="166" fontId="133" fillId="0" borderId="2" xfId="3" applyNumberFormat="1" applyFont="1" applyBorder="1" applyAlignment="1">
      <alignment horizontal="center" vertical="center" wrapText="1"/>
    </xf>
    <xf numFmtId="166" fontId="133" fillId="0" borderId="2" xfId="3" applyNumberFormat="1" applyFont="1" applyBorder="1" applyAlignment="1">
      <alignment horizontal="center" vertical="center" wrapText="1" shrinkToFit="1"/>
    </xf>
    <xf numFmtId="0" fontId="135" fillId="0" borderId="2" xfId="3" applyFont="1" applyBorder="1" applyAlignment="1">
      <alignment horizontal="center" vertical="center" wrapText="1"/>
    </xf>
    <xf numFmtId="0" fontId="36" fillId="0" borderId="0" xfId="0" applyFont="1" applyAlignment="1">
      <alignment horizontal="center"/>
    </xf>
    <xf numFmtId="0" fontId="123" fillId="0" borderId="16" xfId="0" applyFont="1" applyBorder="1" applyAlignment="1">
      <alignment vertical="center" wrapText="1"/>
    </xf>
    <xf numFmtId="0" fontId="75" fillId="0" borderId="0" xfId="0" applyFont="1"/>
    <xf numFmtId="0" fontId="78" fillId="0" borderId="0" xfId="35" applyFont="1" applyAlignment="1">
      <alignment horizontal="center" vertical="center" wrapText="1"/>
    </xf>
    <xf numFmtId="0" fontId="75" fillId="0" borderId="0" xfId="0" applyFont="1" applyAlignment="1">
      <alignment horizontal="center"/>
    </xf>
    <xf numFmtId="0" fontId="79" fillId="0" borderId="2" xfId="0" applyFont="1" applyBorder="1"/>
    <xf numFmtId="199" fontId="79" fillId="0" borderId="2" xfId="0" quotePrefix="1" applyNumberFormat="1" applyFont="1" applyBorder="1"/>
    <xf numFmtId="0" fontId="45" fillId="0" borderId="0" xfId="35" applyFont="1" applyAlignment="1">
      <alignment horizontal="right" vertical="center" wrapText="1"/>
    </xf>
    <xf numFmtId="0" fontId="44" fillId="0" borderId="0" xfId="35" applyFont="1" applyAlignment="1">
      <alignment horizontal="right" vertical="center" wrapText="1"/>
    </xf>
    <xf numFmtId="0" fontId="75" fillId="0" borderId="0" xfId="0" applyFont="1" applyAlignment="1">
      <alignment horizontal="center" vertical="center" wrapText="1"/>
    </xf>
    <xf numFmtId="0" fontId="76" fillId="0" borderId="0" xfId="0" applyFont="1" applyAlignment="1">
      <alignment horizontal="center" vertical="center" wrapText="1"/>
    </xf>
    <xf numFmtId="0" fontId="53" fillId="0" borderId="2" xfId="0" applyFont="1" applyBorder="1" applyAlignment="1">
      <alignment horizontal="left" vertical="center" wrapText="1"/>
    </xf>
    <xf numFmtId="1" fontId="80" fillId="0" borderId="2" xfId="36" applyNumberFormat="1" applyFont="1" applyBorder="1" applyAlignment="1">
      <alignment horizontal="center" vertical="center"/>
    </xf>
    <xf numFmtId="1" fontId="80" fillId="0" borderId="2" xfId="0" applyNumberFormat="1" applyFont="1" applyBorder="1" applyAlignment="1">
      <alignment horizontal="center" vertical="center" wrapText="1"/>
    </xf>
    <xf numFmtId="1" fontId="81" fillId="0" borderId="2" xfId="0" applyNumberFormat="1" applyFont="1" applyBorder="1" applyAlignment="1">
      <alignment horizontal="center" vertical="center" wrapText="1"/>
    </xf>
    <xf numFmtId="1" fontId="82" fillId="0" borderId="2" xfId="36" applyNumberFormat="1" applyFont="1" applyBorder="1" applyAlignment="1">
      <alignment horizontal="center" vertical="center"/>
    </xf>
    <xf numFmtId="1" fontId="75" fillId="0" borderId="2" xfId="0" applyNumberFormat="1" applyFont="1" applyBorder="1"/>
    <xf numFmtId="1" fontId="75" fillId="0" borderId="0" xfId="0" applyNumberFormat="1" applyFont="1"/>
    <xf numFmtId="0" fontId="80" fillId="0" borderId="2" xfId="0" applyFont="1" applyBorder="1" applyAlignment="1">
      <alignment horizontal="left" vertical="center"/>
    </xf>
    <xf numFmtId="0" fontId="45" fillId="0" borderId="0" xfId="3" applyFont="1" applyAlignment="1">
      <alignment horizontal="center" vertical="top" wrapText="1"/>
    </xf>
    <xf numFmtId="0" fontId="44" fillId="0" borderId="0" xfId="3" applyFont="1" applyAlignment="1">
      <alignment horizontal="center" vertical="top" wrapText="1"/>
    </xf>
    <xf numFmtId="0" fontId="76" fillId="0" borderId="2" xfId="0" applyFont="1" applyBorder="1" applyAlignment="1">
      <alignment horizontal="center" wrapText="1"/>
    </xf>
    <xf numFmtId="0" fontId="83" fillId="0" borderId="2" xfId="35" applyFont="1" applyBorder="1" applyAlignment="1">
      <alignment vertical="top" wrapText="1"/>
    </xf>
    <xf numFmtId="0" fontId="83" fillId="0" borderId="2" xfId="35" applyFont="1" applyBorder="1" applyAlignment="1">
      <alignment horizontal="center" vertical="top" wrapText="1"/>
    </xf>
    <xf numFmtId="0" fontId="83" fillId="0" borderId="0" xfId="35" applyFont="1" applyAlignment="1">
      <alignment horizontal="center" vertical="top" wrapText="1"/>
    </xf>
    <xf numFmtId="168" fontId="10" fillId="0" borderId="2" xfId="35" applyNumberFormat="1" applyFont="1" applyBorder="1" applyAlignment="1">
      <alignment horizontal="center" vertical="center" wrapText="1"/>
    </xf>
    <xf numFmtId="168" fontId="14" fillId="0" borderId="0" xfId="35" applyNumberFormat="1" applyFont="1" applyAlignment="1">
      <alignment horizontal="center" vertical="center" wrapText="1"/>
    </xf>
    <xf numFmtId="0" fontId="75" fillId="0" borderId="2" xfId="0" applyFont="1" applyBorder="1" applyAlignment="1">
      <alignment horizontal="center"/>
    </xf>
    <xf numFmtId="0" fontId="84" fillId="0" borderId="2" xfId="35" applyFont="1" applyBorder="1" applyAlignment="1">
      <alignment vertical="center" wrapText="1"/>
    </xf>
    <xf numFmtId="168" fontId="75" fillId="0" borderId="2" xfId="0" applyNumberFormat="1" applyFont="1" applyBorder="1" applyAlignment="1">
      <alignment horizontal="center"/>
    </xf>
    <xf numFmtId="168" fontId="75" fillId="0" borderId="0" xfId="0" applyNumberFormat="1" applyFont="1" applyAlignment="1">
      <alignment horizontal="center"/>
    </xf>
    <xf numFmtId="169" fontId="75" fillId="0" borderId="0" xfId="0" applyNumberFormat="1" applyFont="1"/>
    <xf numFmtId="0" fontId="0" fillId="0" borderId="0" xfId="0" applyAlignment="1">
      <alignment horizontal="left"/>
    </xf>
    <xf numFmtId="168" fontId="75" fillId="0" borderId="0" xfId="0" applyNumberFormat="1" applyFont="1"/>
    <xf numFmtId="0" fontId="84" fillId="0" borderId="0" xfId="35" applyFont="1" applyAlignment="1">
      <alignment vertical="center" wrapText="1"/>
    </xf>
    <xf numFmtId="0" fontId="2" fillId="0" borderId="2" xfId="0" applyFont="1" applyBorder="1"/>
    <xf numFmtId="0" fontId="85" fillId="0" borderId="0" xfId="0" applyFont="1" applyAlignment="1">
      <alignment horizontal="center"/>
    </xf>
    <xf numFmtId="0" fontId="84" fillId="0" borderId="2" xfId="0" applyFont="1" applyBorder="1" applyAlignment="1">
      <alignment horizontal="center"/>
    </xf>
    <xf numFmtId="2" fontId="75" fillId="0" borderId="0" xfId="0" applyNumberFormat="1" applyFont="1" applyAlignment="1">
      <alignment horizontal="center"/>
    </xf>
    <xf numFmtId="1" fontId="79" fillId="0" borderId="2" xfId="0" applyNumberFormat="1" applyFont="1" applyBorder="1" applyAlignment="1">
      <alignment horizontal="center"/>
    </xf>
    <xf numFmtId="0" fontId="83" fillId="0" borderId="2" xfId="3" applyFont="1" applyBorder="1" applyAlignment="1">
      <alignment horizontal="center" vertical="top" wrapText="1"/>
    </xf>
    <xf numFmtId="168" fontId="26" fillId="0" borderId="0" xfId="0" applyNumberFormat="1" applyFont="1"/>
    <xf numFmtId="0" fontId="36" fillId="0" borderId="16" xfId="35" applyFont="1" applyBorder="1" applyAlignment="1">
      <alignment vertical="center" wrapText="1"/>
    </xf>
    <xf numFmtId="168" fontId="36" fillId="0" borderId="2" xfId="35" applyNumberFormat="1" applyFont="1" applyBorder="1" applyAlignment="1">
      <alignment horizontal="center" vertical="center" wrapText="1"/>
    </xf>
    <xf numFmtId="168" fontId="9" fillId="0" borderId="2" xfId="35" applyNumberFormat="1" applyFont="1" applyBorder="1" applyAlignment="1">
      <alignment horizontal="center" vertical="center" wrapText="1"/>
    </xf>
    <xf numFmtId="168" fontId="45" fillId="0" borderId="0" xfId="35" applyNumberFormat="1" applyFont="1" applyAlignment="1">
      <alignment horizontal="center" vertical="center" wrapText="1"/>
    </xf>
    <xf numFmtId="0" fontId="83" fillId="0" borderId="2" xfId="35" applyFont="1" applyBorder="1" applyAlignment="1">
      <alignment vertical="center" wrapText="1"/>
    </xf>
    <xf numFmtId="168" fontId="76" fillId="0" borderId="2" xfId="0" applyNumberFormat="1" applyFont="1" applyBorder="1" applyAlignment="1">
      <alignment horizontal="center"/>
    </xf>
    <xf numFmtId="168" fontId="76" fillId="0" borderId="0" xfId="0" applyNumberFormat="1" applyFont="1" applyAlignment="1">
      <alignment horizontal="center"/>
    </xf>
    <xf numFmtId="0" fontId="86" fillId="0" borderId="3" xfId="36" applyFont="1" applyBorder="1" applyAlignment="1">
      <alignment horizontal="center" vertical="center" wrapText="1"/>
    </xf>
    <xf numFmtId="0" fontId="76" fillId="0" borderId="0" xfId="0" applyFont="1" applyAlignment="1">
      <alignment wrapText="1"/>
    </xf>
    <xf numFmtId="2" fontId="75" fillId="0" borderId="2" xfId="0" applyNumberFormat="1" applyFont="1" applyBorder="1"/>
    <xf numFmtId="0" fontId="87" fillId="0" borderId="2" xfId="0" applyFont="1" applyBorder="1" applyAlignment="1">
      <alignment horizontal="left" vertical="center"/>
    </xf>
    <xf numFmtId="1" fontId="88" fillId="0" borderId="2" xfId="36" applyNumberFormat="1" applyFont="1" applyBorder="1" applyAlignment="1">
      <alignment horizontal="right"/>
    </xf>
    <xf numFmtId="0" fontId="75" fillId="0" borderId="2" xfId="0" applyFont="1" applyBorder="1"/>
    <xf numFmtId="0" fontId="35" fillId="0" borderId="0" xfId="35" applyFont="1" applyAlignment="1">
      <alignment horizontal="left" vertical="center" wrapText="1"/>
    </xf>
    <xf numFmtId="0" fontId="58" fillId="0" borderId="0" xfId="35" applyFont="1" applyAlignment="1">
      <alignment horizontal="left" vertical="center" wrapText="1"/>
    </xf>
    <xf numFmtId="169" fontId="75" fillId="0" borderId="0" xfId="0" applyNumberFormat="1" applyFont="1" applyAlignment="1">
      <alignment horizontal="center"/>
    </xf>
    <xf numFmtId="2" fontId="75" fillId="0" borderId="0" xfId="0" applyNumberFormat="1" applyFont="1"/>
    <xf numFmtId="1" fontId="81" fillId="0" borderId="6" xfId="0" applyNumberFormat="1" applyFont="1" applyBorder="1" applyAlignment="1">
      <alignment horizontal="center" vertical="center" wrapText="1"/>
    </xf>
    <xf numFmtId="0" fontId="10" fillId="0" borderId="0" xfId="35" applyFont="1" applyAlignment="1">
      <alignment horizontal="left" vertical="top" wrapText="1"/>
    </xf>
    <xf numFmtId="0" fontId="16" fillId="0" borderId="0" xfId="35" applyFont="1" applyAlignment="1">
      <alignment horizontal="left" vertical="top" wrapText="1"/>
    </xf>
    <xf numFmtId="0" fontId="89" fillId="0" borderId="20" xfId="35" applyFont="1" applyBorder="1" applyAlignment="1">
      <alignment horizontal="left" vertical="top" wrapText="1"/>
    </xf>
    <xf numFmtId="0" fontId="89" fillId="0" borderId="0" xfId="35" applyFont="1" applyAlignment="1">
      <alignment horizontal="left" vertical="top" wrapText="1"/>
    </xf>
    <xf numFmtId="0" fontId="89" fillId="0" borderId="21" xfId="35" applyFont="1" applyBorder="1" applyAlignment="1">
      <alignment horizontal="left" vertical="top" wrapText="1"/>
    </xf>
    <xf numFmtId="0" fontId="90" fillId="0" borderId="0" xfId="35" applyFont="1" applyAlignment="1">
      <alignment horizontal="left" vertical="top" wrapText="1"/>
    </xf>
    <xf numFmtId="0" fontId="84" fillId="0" borderId="0" xfId="35" applyFont="1" applyAlignment="1">
      <alignment horizontal="center" vertical="top" wrapText="1"/>
    </xf>
    <xf numFmtId="0" fontId="84" fillId="0" borderId="21" xfId="35" applyFont="1" applyBorder="1" applyAlignment="1">
      <alignment horizontal="center" vertical="top" wrapText="1"/>
    </xf>
    <xf numFmtId="0" fontId="85" fillId="0" borderId="0" xfId="35" applyFont="1" applyAlignment="1">
      <alignment horizontal="center" vertical="top" wrapText="1"/>
    </xf>
    <xf numFmtId="10" fontId="75" fillId="0" borderId="0" xfId="0" applyNumberFormat="1" applyFont="1"/>
    <xf numFmtId="0" fontId="91" fillId="0" borderId="21" xfId="35" applyFont="1" applyBorder="1" applyAlignment="1">
      <alignment vertical="top" wrapText="1"/>
    </xf>
    <xf numFmtId="0" fontId="91" fillId="0" borderId="0" xfId="35" applyFont="1" applyAlignment="1">
      <alignment vertical="top" wrapText="1"/>
    </xf>
    <xf numFmtId="0" fontId="92" fillId="0" borderId="2" xfId="36" applyFont="1" applyBorder="1" applyAlignment="1">
      <alignment horizontal="left"/>
    </xf>
    <xf numFmtId="1" fontId="92" fillId="0" borderId="2" xfId="36" applyNumberFormat="1" applyFont="1" applyBorder="1"/>
    <xf numFmtId="0" fontId="58" fillId="0" borderId="0" xfId="35" applyFont="1" applyAlignment="1">
      <alignment horizontal="left" vertical="top" wrapText="1"/>
    </xf>
    <xf numFmtId="0" fontId="35" fillId="0" borderId="0" xfId="35" applyFont="1" applyAlignment="1">
      <alignment horizontal="left" vertical="top" wrapText="1"/>
    </xf>
    <xf numFmtId="169" fontId="75" fillId="0" borderId="0" xfId="1" applyNumberFormat="1" applyFont="1" applyFill="1"/>
    <xf numFmtId="0" fontId="76" fillId="0" borderId="2" xfId="35" applyFont="1" applyBorder="1" applyAlignment="1">
      <alignment horizontal="center" vertical="top" wrapText="1"/>
    </xf>
    <xf numFmtId="168" fontId="84" fillId="0" borderId="2" xfId="35" applyNumberFormat="1" applyFont="1" applyBorder="1" applyAlignment="1">
      <alignment horizontal="right" vertical="center" wrapText="1"/>
    </xf>
    <xf numFmtId="168" fontId="83" fillId="0" borderId="2" xfId="35" applyNumberFormat="1" applyFont="1" applyBorder="1" applyAlignment="1">
      <alignment horizontal="right" vertical="center" wrapText="1"/>
    </xf>
    <xf numFmtId="168" fontId="83" fillId="0" borderId="2" xfId="35" applyNumberFormat="1" applyFont="1" applyBorder="1" applyAlignment="1">
      <alignment horizontal="center" vertical="center" wrapText="1"/>
    </xf>
    <xf numFmtId="0" fontId="83" fillId="0" borderId="0" xfId="35" applyFont="1" applyAlignment="1">
      <alignment vertical="center" wrapText="1"/>
    </xf>
    <xf numFmtId="168" fontId="83" fillId="0" borderId="0" xfId="35" applyNumberFormat="1" applyFont="1" applyAlignment="1">
      <alignment horizontal="right" vertical="center" wrapText="1" indent="2"/>
    </xf>
    <xf numFmtId="168" fontId="76" fillId="0" borderId="2" xfId="35" applyNumberFormat="1" applyFont="1" applyBorder="1" applyAlignment="1">
      <alignment horizontal="center" vertical="center" wrapText="1"/>
    </xf>
    <xf numFmtId="0" fontId="83" fillId="0" borderId="17" xfId="35" applyFont="1" applyBorder="1" applyAlignment="1">
      <alignment vertical="center" wrapText="1"/>
    </xf>
    <xf numFmtId="0" fontId="83" fillId="0" borderId="20" xfId="35" applyFont="1" applyBorder="1" applyAlignment="1">
      <alignment vertical="center" wrapText="1"/>
    </xf>
    <xf numFmtId="0" fontId="75" fillId="0" borderId="21" xfId="0" applyFont="1" applyBorder="1"/>
    <xf numFmtId="0" fontId="83" fillId="0" borderId="20" xfId="35" applyFont="1" applyBorder="1" applyAlignment="1">
      <alignment horizontal="left" vertical="center" wrapText="1"/>
    </xf>
    <xf numFmtId="0" fontId="76" fillId="0" borderId="16" xfId="35" applyFont="1" applyBorder="1" applyAlignment="1">
      <alignment horizontal="center" vertical="center" wrapText="1"/>
    </xf>
    <xf numFmtId="0" fontId="76" fillId="0" borderId="2" xfId="35" applyFont="1" applyBorder="1" applyAlignment="1">
      <alignment horizontal="center" vertical="center" wrapText="1"/>
    </xf>
    <xf numFmtId="0" fontId="83" fillId="0" borderId="5" xfId="35" applyFont="1" applyBorder="1" applyAlignment="1">
      <alignment horizontal="center" vertical="top" wrapText="1"/>
    </xf>
    <xf numFmtId="0" fontId="88" fillId="0" borderId="3" xfId="37" applyFont="1" applyBorder="1" applyAlignment="1">
      <alignment horizontal="center" vertical="center"/>
    </xf>
    <xf numFmtId="168" fontId="75" fillId="0" borderId="2" xfId="35" applyNumberFormat="1" applyFont="1" applyBorder="1" applyAlignment="1">
      <alignment horizontal="right" vertical="center" wrapText="1"/>
    </xf>
    <xf numFmtId="0" fontId="87" fillId="0" borderId="2" xfId="0" applyFont="1" applyBorder="1" applyAlignment="1">
      <alignment horizontal="left" vertical="top"/>
    </xf>
    <xf numFmtId="1" fontId="98" fillId="0" borderId="2" xfId="0" applyNumberFormat="1" applyFont="1" applyBorder="1" applyAlignment="1">
      <alignment horizontal="right" vertical="top" wrapText="1"/>
    </xf>
    <xf numFmtId="0" fontId="76" fillId="0" borderId="16" xfId="35" applyFont="1" applyBorder="1" applyAlignment="1">
      <alignment horizontal="right" vertical="center" wrapText="1" indent="1"/>
    </xf>
    <xf numFmtId="2" fontId="85" fillId="0" borderId="2" xfId="35" applyNumberFormat="1" applyFont="1" applyBorder="1" applyAlignment="1">
      <alignment horizontal="right" vertical="center" wrapText="1" indent="2"/>
    </xf>
    <xf numFmtId="0" fontId="99" fillId="0" borderId="2" xfId="0" applyFont="1" applyBorder="1" applyAlignment="1">
      <alignment vertical="center"/>
    </xf>
    <xf numFmtId="0" fontId="76" fillId="0" borderId="8" xfId="35" applyFont="1" applyBorder="1" applyAlignment="1">
      <alignment horizontal="left" vertical="center" wrapText="1"/>
    </xf>
    <xf numFmtId="0" fontId="76" fillId="0" borderId="9" xfId="35" applyFont="1" applyBorder="1" applyAlignment="1">
      <alignment horizontal="left" vertical="center" wrapText="1"/>
    </xf>
    <xf numFmtId="2" fontId="100" fillId="0" borderId="2" xfId="35" applyNumberFormat="1" applyFont="1" applyBorder="1" applyAlignment="1">
      <alignment horizontal="right" vertical="center" wrapText="1" indent="2"/>
    </xf>
    <xf numFmtId="168" fontId="75" fillId="0" borderId="2" xfId="0" applyNumberFormat="1" applyFont="1" applyBorder="1" applyAlignment="1">
      <alignment horizontal="right" vertical="center" wrapText="1"/>
    </xf>
    <xf numFmtId="0" fontId="75" fillId="0" borderId="16" xfId="35" applyFont="1" applyBorder="1" applyAlignment="1">
      <alignment vertical="center" wrapText="1"/>
    </xf>
    <xf numFmtId="168" fontId="76" fillId="0" borderId="2" xfId="35" applyNumberFormat="1" applyFont="1" applyBorder="1" applyAlignment="1">
      <alignment horizontal="right" vertical="center" wrapText="1" indent="2"/>
    </xf>
    <xf numFmtId="0" fontId="84" fillId="0" borderId="20" xfId="35" applyFont="1" applyBorder="1" applyAlignment="1">
      <alignment vertical="center" wrapText="1"/>
    </xf>
    <xf numFmtId="0" fontId="84" fillId="0" borderId="22" xfId="35" applyFont="1" applyBorder="1" applyAlignment="1">
      <alignment vertical="center" wrapText="1"/>
    </xf>
    <xf numFmtId="0" fontId="84" fillId="0" borderId="23" xfId="35" applyFont="1" applyBorder="1" applyAlignment="1">
      <alignment vertical="center" wrapText="1"/>
    </xf>
    <xf numFmtId="0" fontId="75" fillId="0" borderId="23" xfId="0" applyFont="1" applyBorder="1"/>
    <xf numFmtId="0" fontId="75" fillId="0" borderId="24" xfId="0" applyFont="1" applyBorder="1"/>
    <xf numFmtId="0" fontId="75" fillId="0" borderId="18" xfId="0" applyFont="1" applyBorder="1"/>
    <xf numFmtId="0" fontId="75" fillId="0" borderId="19" xfId="0" applyFont="1" applyBorder="1"/>
    <xf numFmtId="168" fontId="84" fillId="0" borderId="0" xfId="35" applyNumberFormat="1" applyFont="1" applyAlignment="1">
      <alignment horizontal="center" vertical="center" wrapText="1"/>
    </xf>
    <xf numFmtId="168" fontId="84" fillId="0" borderId="0" xfId="35" applyNumberFormat="1" applyFont="1" applyAlignment="1">
      <alignment vertical="center" wrapText="1"/>
    </xf>
    <xf numFmtId="0" fontId="83" fillId="0" borderId="0" xfId="35" applyFont="1" applyAlignment="1">
      <alignment horizontal="left" vertical="center" wrapText="1"/>
    </xf>
    <xf numFmtId="200" fontId="84" fillId="0" borderId="0" xfId="35" applyNumberFormat="1" applyFont="1" applyAlignment="1">
      <alignment horizontal="center" vertical="center" wrapText="1"/>
    </xf>
    <xf numFmtId="0" fontId="95" fillId="0" borderId="2" xfId="35" applyFont="1" applyBorder="1" applyAlignment="1">
      <alignment horizontal="center" vertical="center" wrapText="1"/>
    </xf>
    <xf numFmtId="0" fontId="95" fillId="0" borderId="2" xfId="35" applyFont="1" applyBorder="1" applyAlignment="1">
      <alignment horizontal="right" vertical="center" wrapText="1" indent="1"/>
    </xf>
    <xf numFmtId="0" fontId="95" fillId="0" borderId="7" xfId="35" applyFont="1" applyBorder="1" applyAlignment="1">
      <alignment horizontal="left" vertical="center" wrapText="1"/>
    </xf>
    <xf numFmtId="0" fontId="95" fillId="0" borderId="8" xfId="35" applyFont="1" applyBorder="1" applyAlignment="1">
      <alignment horizontal="left" vertical="center" wrapText="1"/>
    </xf>
    <xf numFmtId="0" fontId="95" fillId="0" borderId="9" xfId="35" applyFont="1" applyBorder="1" applyAlignment="1">
      <alignment horizontal="left" vertical="center" wrapText="1"/>
    </xf>
    <xf numFmtId="0" fontId="94" fillId="0" borderId="2" xfId="35" applyFont="1" applyBorder="1" applyAlignment="1">
      <alignment vertical="center" wrapText="1"/>
    </xf>
    <xf numFmtId="168" fontId="100" fillId="0" borderId="2" xfId="35" applyNumberFormat="1" applyFont="1" applyBorder="1" applyAlignment="1">
      <alignment horizontal="right" vertical="center" wrapText="1" indent="2"/>
    </xf>
    <xf numFmtId="0" fontId="12" fillId="0" borderId="0" xfId="35" applyFont="1" applyAlignment="1">
      <alignment vertical="center" wrapText="1"/>
    </xf>
    <xf numFmtId="0" fontId="12" fillId="0" borderId="0" xfId="35" applyFont="1" applyAlignment="1">
      <alignment horizontal="center" vertical="center" wrapText="1"/>
    </xf>
    <xf numFmtId="0" fontId="103" fillId="0" borderId="0" xfId="35" applyFont="1" applyAlignment="1">
      <alignment horizontal="center" vertical="center" wrapText="1"/>
    </xf>
    <xf numFmtId="0" fontId="75" fillId="0" borderId="17" xfId="0" applyFont="1" applyBorder="1"/>
    <xf numFmtId="0" fontId="75" fillId="0" borderId="20" xfId="0" applyFont="1" applyBorder="1"/>
    <xf numFmtId="1" fontId="7" fillId="0" borderId="5" xfId="0" applyNumberFormat="1" applyFont="1" applyBorder="1" applyAlignment="1">
      <alignment horizontal="center" vertical="center"/>
    </xf>
    <xf numFmtId="1" fontId="44" fillId="0" borderId="5" xfId="0" applyNumberFormat="1" applyFont="1" applyBorder="1" applyAlignment="1">
      <alignment horizontal="center" vertical="center"/>
    </xf>
    <xf numFmtId="1" fontId="13" fillId="0" borderId="2" xfId="39" applyNumberFormat="1" applyFont="1" applyBorder="1" applyAlignment="1">
      <alignment horizontal="center" vertical="center"/>
    </xf>
    <xf numFmtId="41" fontId="13" fillId="0" borderId="39" xfId="39" applyFont="1" applyBorder="1" applyAlignment="1">
      <alignment horizontal="center" vertical="center" textRotation="90"/>
    </xf>
    <xf numFmtId="0" fontId="7" fillId="0" borderId="19" xfId="0" applyFont="1" applyBorder="1" applyAlignment="1">
      <alignment horizontal="center"/>
    </xf>
    <xf numFmtId="1" fontId="7" fillId="0" borderId="38" xfId="0" applyNumberFormat="1" applyFont="1" applyBorder="1" applyAlignment="1">
      <alignment horizontal="left" vertical="center" indent="1"/>
    </xf>
    <xf numFmtId="1" fontId="7" fillId="0" borderId="16" xfId="0" applyNumberFormat="1" applyFont="1" applyBorder="1" applyAlignment="1">
      <alignment horizontal="left" vertical="center" indent="1"/>
    </xf>
    <xf numFmtId="41" fontId="13" fillId="0" borderId="16" xfId="39" applyFont="1" applyBorder="1" applyAlignment="1">
      <alignment horizontal="left" vertical="center" indent="1"/>
    </xf>
    <xf numFmtId="0" fontId="108" fillId="0" borderId="20" xfId="0" applyFont="1" applyBorder="1" applyAlignment="1">
      <alignment horizontal="left" vertical="center"/>
    </xf>
    <xf numFmtId="0" fontId="61" fillId="0" borderId="7" xfId="0" applyFont="1" applyBorder="1" applyAlignment="1">
      <alignment horizontal="center" vertical="top" wrapText="1"/>
    </xf>
    <xf numFmtId="1" fontId="62" fillId="0" borderId="7" xfId="0" applyNumberFormat="1" applyFont="1" applyBorder="1" applyAlignment="1">
      <alignment horizontal="center" vertical="center"/>
    </xf>
    <xf numFmtId="0" fontId="2" fillId="0" borderId="20" xfId="0" applyFont="1" applyBorder="1" applyAlignment="1">
      <alignment horizontal="center"/>
    </xf>
    <xf numFmtId="0" fontId="3" fillId="0" borderId="20" xfId="0" applyFont="1" applyBorder="1" applyAlignment="1">
      <alignment horizontal="center" vertical="top"/>
    </xf>
    <xf numFmtId="1" fontId="63" fillId="0" borderId="20" xfId="0" applyNumberFormat="1" applyFont="1" applyBorder="1" applyAlignment="1">
      <alignment horizontal="center" vertical="top"/>
    </xf>
    <xf numFmtId="1" fontId="63" fillId="0" borderId="20" xfId="0" applyNumberFormat="1" applyFont="1" applyBorder="1" applyAlignment="1">
      <alignment horizontal="center"/>
    </xf>
    <xf numFmtId="0" fontId="61" fillId="0" borderId="16" xfId="0" applyFont="1" applyBorder="1" applyAlignment="1">
      <alignment horizontal="center" vertical="top" wrapText="1"/>
    </xf>
    <xf numFmtId="1" fontId="62" fillId="0" borderId="16" xfId="0" applyNumberFormat="1" applyFont="1" applyBorder="1" applyAlignment="1">
      <alignment horizontal="center" vertical="center"/>
    </xf>
    <xf numFmtId="0" fontId="130" fillId="0" borderId="16" xfId="0" applyFont="1" applyBorder="1" applyAlignment="1" applyProtection="1">
      <alignment horizontal="left" vertical="center"/>
      <protection locked="0"/>
    </xf>
    <xf numFmtId="0" fontId="130" fillId="0" borderId="2" xfId="0" applyFont="1" applyBorder="1" applyAlignment="1" applyProtection="1">
      <alignment horizontal="center" vertical="center"/>
      <protection locked="0"/>
    </xf>
    <xf numFmtId="2" fontId="130" fillId="0" borderId="2" xfId="0" applyNumberFormat="1" applyFont="1" applyBorder="1" applyAlignment="1" applyProtection="1">
      <alignment horizontal="center" vertical="center"/>
      <protection locked="0"/>
    </xf>
    <xf numFmtId="0" fontId="130" fillId="0" borderId="16" xfId="0" applyFont="1" applyBorder="1" applyAlignment="1" applyProtection="1">
      <alignment horizontal="left" vertical="center" wrapText="1"/>
      <protection locked="0"/>
    </xf>
    <xf numFmtId="2" fontId="130" fillId="0" borderId="5" xfId="0" applyNumberFormat="1" applyFont="1" applyBorder="1" applyAlignment="1" applyProtection="1">
      <alignment horizontal="center" vertical="center"/>
      <protection locked="0"/>
    </xf>
    <xf numFmtId="0" fontId="33" fillId="0" borderId="16" xfId="0" applyFont="1" applyBorder="1" applyAlignment="1" applyProtection="1">
      <alignment horizontal="center" vertical="center"/>
      <protection locked="0"/>
    </xf>
    <xf numFmtId="0" fontId="33" fillId="0" borderId="2" xfId="0" applyFont="1" applyBorder="1" applyAlignment="1" applyProtection="1">
      <alignment horizontal="center" vertical="center" wrapText="1"/>
      <protection locked="0"/>
    </xf>
    <xf numFmtId="0" fontId="33" fillId="0" borderId="2" xfId="0" applyFont="1" applyBorder="1" applyAlignment="1" applyProtection="1">
      <alignment horizontal="center" vertical="center"/>
      <protection locked="0"/>
    </xf>
    <xf numFmtId="0" fontId="33" fillId="0" borderId="33" xfId="0" applyFont="1" applyBorder="1" applyAlignment="1" applyProtection="1">
      <alignment horizontal="center" vertical="center" wrapText="1"/>
      <protection locked="0"/>
    </xf>
    <xf numFmtId="0" fontId="2" fillId="0" borderId="0" xfId="0" applyFont="1"/>
    <xf numFmtId="43" fontId="2" fillId="0" borderId="0" xfId="9" applyFont="1" applyAlignment="1">
      <alignment horizontal="center"/>
    </xf>
    <xf numFmtId="41" fontId="36" fillId="0" borderId="2" xfId="39" applyFont="1" applyBorder="1" applyAlignment="1">
      <alignment horizontal="center" vertical="center"/>
    </xf>
    <xf numFmtId="168" fontId="7" fillId="0" borderId="2" xfId="35" applyNumberFormat="1" applyFont="1" applyBorder="1" applyAlignment="1">
      <alignment vertical="center" wrapText="1"/>
    </xf>
    <xf numFmtId="168" fontId="13" fillId="0" borderId="2" xfId="35" applyNumberFormat="1" applyFont="1" applyBorder="1" applyAlignment="1">
      <alignment vertical="center" wrapText="1"/>
    </xf>
    <xf numFmtId="168" fontId="13" fillId="0" borderId="2" xfId="35" applyNumberFormat="1" applyFont="1" applyBorder="1" applyAlignment="1">
      <alignment horizontal="center" vertical="center" wrapText="1"/>
    </xf>
    <xf numFmtId="0" fontId="63" fillId="5" borderId="0" xfId="0" applyFont="1" applyFill="1" applyAlignment="1">
      <alignment horizontal="center"/>
    </xf>
    <xf numFmtId="0" fontId="73" fillId="0" borderId="0" xfId="0" applyFont="1"/>
    <xf numFmtId="0" fontId="63" fillId="5" borderId="15" xfId="0" applyFont="1" applyFill="1" applyBorder="1" applyAlignment="1">
      <alignment horizontal="center"/>
    </xf>
    <xf numFmtId="1" fontId="63" fillId="0" borderId="0" xfId="0" applyNumberFormat="1" applyFont="1"/>
    <xf numFmtId="165" fontId="63" fillId="0" borderId="0" xfId="63" applyFont="1"/>
    <xf numFmtId="0" fontId="73" fillId="0" borderId="0" xfId="0" applyFont="1" applyAlignment="1">
      <alignment horizontal="left"/>
    </xf>
    <xf numFmtId="0" fontId="63" fillId="0" borderId="0" xfId="0" applyFont="1" applyAlignment="1">
      <alignment horizontal="left"/>
    </xf>
    <xf numFmtId="0" fontId="9" fillId="0" borderId="7" xfId="55" applyFont="1" applyBorder="1" applyAlignment="1">
      <alignment horizontal="center" vertical="center" wrapText="1"/>
    </xf>
    <xf numFmtId="182" fontId="10" fillId="0" borderId="7" xfId="0" applyNumberFormat="1" applyFont="1" applyBorder="1" applyAlignment="1">
      <alignment horizontal="center" vertical="center" wrapText="1"/>
    </xf>
    <xf numFmtId="182" fontId="9" fillId="0" borderId="7" xfId="0" applyNumberFormat="1" applyFont="1" applyBorder="1" applyAlignment="1">
      <alignment horizontal="center" vertical="center" wrapText="1"/>
    </xf>
    <xf numFmtId="182" fontId="10" fillId="0" borderId="7" xfId="59" applyNumberFormat="1" applyFont="1" applyBorder="1" applyAlignment="1">
      <alignment horizontal="center" vertical="center" wrapText="1"/>
    </xf>
    <xf numFmtId="49" fontId="13" fillId="0" borderId="2" xfId="0" applyNumberFormat="1" applyFont="1" applyBorder="1" applyAlignment="1">
      <alignment horizontal="center" vertical="center"/>
    </xf>
    <xf numFmtId="1" fontId="36" fillId="0" borderId="2" xfId="0" applyNumberFormat="1" applyFont="1" applyBorder="1" applyAlignment="1">
      <alignment horizontal="center" vertical="center"/>
    </xf>
    <xf numFmtId="168" fontId="71" fillId="0" borderId="2" xfId="0" applyNumberFormat="1" applyFont="1" applyBorder="1" applyAlignment="1">
      <alignment horizontal="center" vertical="center"/>
    </xf>
    <xf numFmtId="168" fontId="34" fillId="0" borderId="2" xfId="0" applyNumberFormat="1" applyFont="1" applyBorder="1" applyAlignment="1">
      <alignment horizontal="center" vertical="center"/>
    </xf>
    <xf numFmtId="1" fontId="15" fillId="0" borderId="2" xfId="39" applyNumberFormat="1" applyFont="1" applyBorder="1" applyAlignment="1">
      <alignment horizontal="center" vertical="center"/>
    </xf>
    <xf numFmtId="9" fontId="36" fillId="0" borderId="2" xfId="1" applyFont="1" applyFill="1" applyBorder="1" applyAlignment="1">
      <alignment horizontal="center" vertical="center" wrapText="1"/>
    </xf>
    <xf numFmtId="9" fontId="36" fillId="0" borderId="2" xfId="1" applyFont="1" applyFill="1" applyBorder="1" applyAlignment="1">
      <alignment horizontal="center" vertical="center"/>
    </xf>
    <xf numFmtId="177" fontId="36" fillId="0" borderId="2" xfId="39" applyNumberFormat="1" applyFont="1" applyBorder="1" applyAlignment="1">
      <alignment horizontal="center" vertical="center"/>
    </xf>
    <xf numFmtId="1" fontId="15" fillId="0" borderId="2" xfId="39" applyNumberFormat="1" applyFont="1" applyBorder="1" applyAlignment="1">
      <alignment horizontal="center" vertical="center" wrapText="1"/>
    </xf>
    <xf numFmtId="1" fontId="36" fillId="0" borderId="2" xfId="39" applyNumberFormat="1" applyFont="1" applyBorder="1" applyAlignment="1">
      <alignment horizontal="center" vertical="center"/>
    </xf>
    <xf numFmtId="203" fontId="36" fillId="0" borderId="2" xfId="39" applyNumberFormat="1" applyFont="1" applyBorder="1" applyAlignment="1">
      <alignment horizontal="left" vertical="center" wrapText="1"/>
    </xf>
    <xf numFmtId="203" fontId="36" fillId="0" borderId="2" xfId="39" applyNumberFormat="1" applyFont="1" applyBorder="1" applyAlignment="1">
      <alignment horizontal="right" vertical="center" wrapText="1"/>
    </xf>
    <xf numFmtId="1" fontId="36" fillId="0" borderId="2" xfId="39" applyNumberFormat="1" applyFont="1" applyBorder="1" applyAlignment="1">
      <alignment vertical="center"/>
    </xf>
    <xf numFmtId="1" fontId="15" fillId="0" borderId="2" xfId="39" applyNumberFormat="1" applyFont="1" applyBorder="1" applyAlignment="1">
      <alignment vertical="center"/>
    </xf>
    <xf numFmtId="1" fontId="15" fillId="0" borderId="2" xfId="39" applyNumberFormat="1" applyFont="1" applyBorder="1" applyAlignment="1">
      <alignment horizontal="right" vertical="center"/>
    </xf>
    <xf numFmtId="1" fontId="36" fillId="0" borderId="2" xfId="39" applyNumberFormat="1" applyFont="1" applyBorder="1" applyAlignment="1">
      <alignment horizontal="right" vertical="center"/>
    </xf>
    <xf numFmtId="168" fontId="71" fillId="0" borderId="2" xfId="0" applyNumberFormat="1" applyFont="1" applyBorder="1" applyAlignment="1">
      <alignment horizontal="right" vertical="center" indent="1"/>
    </xf>
    <xf numFmtId="168" fontId="34" fillId="0" borderId="2" xfId="0" applyNumberFormat="1" applyFont="1" applyBorder="1" applyAlignment="1">
      <alignment horizontal="right" vertical="center" indent="1"/>
    </xf>
    <xf numFmtId="168" fontId="15" fillId="0" borderId="2" xfId="24" applyNumberFormat="1" applyFont="1" applyBorder="1" applyAlignment="1">
      <alignment horizontal="center" vertical="center" wrapText="1"/>
    </xf>
    <xf numFmtId="168" fontId="36" fillId="0" borderId="2" xfId="24" applyNumberFormat="1" applyFont="1" applyBorder="1" applyAlignment="1">
      <alignment horizontal="center" vertical="center" wrapText="1"/>
    </xf>
    <xf numFmtId="2" fontId="15" fillId="0" borderId="2" xfId="24" applyNumberFormat="1" applyFont="1" applyBorder="1" applyAlignment="1">
      <alignment horizontal="center" vertical="center" wrapText="1"/>
    </xf>
    <xf numFmtId="168" fontId="10" fillId="0" borderId="0" xfId="0" applyNumberFormat="1" applyFont="1"/>
    <xf numFmtId="168" fontId="15" fillId="0" borderId="2" xfId="30" applyNumberFormat="1" applyFont="1" applyBorder="1" applyAlignment="1">
      <alignment horizontal="center" vertical="center"/>
    </xf>
    <xf numFmtId="168" fontId="36" fillId="0" borderId="2" xfId="16" applyNumberFormat="1" applyFont="1" applyBorder="1" applyAlignment="1">
      <alignment horizontal="center" vertical="center" wrapText="1"/>
    </xf>
    <xf numFmtId="0" fontId="139" fillId="0" borderId="0" xfId="0" applyFont="1"/>
    <xf numFmtId="0" fontId="34" fillId="0" borderId="16" xfId="0" applyFont="1" applyBorder="1" applyAlignment="1">
      <alignment vertical="center"/>
    </xf>
    <xf numFmtId="0" fontId="71" fillId="0" borderId="16" xfId="0" applyFont="1" applyBorder="1" applyAlignment="1">
      <alignment horizontal="left" vertical="center"/>
    </xf>
    <xf numFmtId="3" fontId="71" fillId="0" borderId="2" xfId="0" applyNumberFormat="1" applyFont="1" applyBorder="1" applyAlignment="1">
      <alignment horizontal="center" vertical="center"/>
    </xf>
    <xf numFmtId="177" fontId="71" fillId="0" borderId="33" xfId="0" applyNumberFormat="1" applyFont="1" applyBorder="1" applyAlignment="1">
      <alignment horizontal="center" vertical="center"/>
    </xf>
    <xf numFmtId="0" fontId="10" fillId="0" borderId="22" xfId="0" applyFont="1" applyBorder="1" applyAlignment="1">
      <alignment horizontal="left" wrapText="1"/>
    </xf>
    <xf numFmtId="169" fontId="75" fillId="0" borderId="0" xfId="1" applyNumberFormat="1" applyFont="1"/>
    <xf numFmtId="0" fontId="16" fillId="0" borderId="0" xfId="0" applyFont="1"/>
    <xf numFmtId="0" fontId="71" fillId="0" borderId="0" xfId="0" applyFont="1" applyAlignment="1">
      <alignment vertical="center" wrapText="1"/>
    </xf>
    <xf numFmtId="9" fontId="7" fillId="0" borderId="0" xfId="1" applyFont="1"/>
    <xf numFmtId="0" fontId="142" fillId="0" borderId="0" xfId="0" applyFont="1" applyAlignment="1">
      <alignment wrapText="1"/>
    </xf>
    <xf numFmtId="0" fontId="144" fillId="0" borderId="0" xfId="0" applyFont="1" applyAlignment="1">
      <alignment wrapText="1"/>
    </xf>
    <xf numFmtId="0" fontId="6" fillId="0" borderId="2" xfId="31" applyFont="1" applyBorder="1" applyAlignment="1">
      <alignment horizontal="center" vertical="center" wrapText="1"/>
    </xf>
    <xf numFmtId="185" fontId="58" fillId="0" borderId="2" xfId="34" applyNumberFormat="1" applyFont="1" applyBorder="1" applyAlignment="1">
      <alignment horizontal="center" vertical="center" wrapText="1"/>
    </xf>
    <xf numFmtId="1" fontId="58" fillId="0" borderId="2" xfId="34" applyNumberFormat="1" applyFont="1" applyBorder="1" applyAlignment="1">
      <alignment horizontal="center" vertical="center" wrapText="1"/>
    </xf>
    <xf numFmtId="1" fontId="58" fillId="0" borderId="0" xfId="34" applyNumberFormat="1" applyFont="1" applyAlignment="1">
      <alignment horizontal="center" vertical="center" wrapText="1"/>
    </xf>
    <xf numFmtId="185" fontId="58" fillId="0" borderId="0" xfId="34" applyNumberFormat="1" applyFont="1" applyAlignment="1">
      <alignment horizontal="center" vertical="center" wrapText="1"/>
    </xf>
    <xf numFmtId="168" fontId="58" fillId="0" borderId="2" xfId="34" applyNumberFormat="1" applyFont="1" applyBorder="1" applyAlignment="1">
      <alignment horizontal="center" vertical="center" wrapText="1"/>
    </xf>
    <xf numFmtId="1" fontId="129" fillId="5" borderId="2" xfId="34" applyNumberFormat="1" applyFont="1" applyFill="1" applyBorder="1" applyAlignment="1">
      <alignment horizontal="center" vertical="center" wrapText="1"/>
    </xf>
    <xf numFmtId="168" fontId="129" fillId="5" borderId="2" xfId="34" applyNumberFormat="1" applyFont="1" applyFill="1" applyBorder="1" applyAlignment="1">
      <alignment horizontal="center" vertical="center" wrapText="1"/>
    </xf>
    <xf numFmtId="10" fontId="7" fillId="0" borderId="0" xfId="1" applyNumberFormat="1" applyFont="1" applyFill="1"/>
    <xf numFmtId="10" fontId="7" fillId="0" borderId="0" xfId="1" applyNumberFormat="1" applyFont="1"/>
    <xf numFmtId="178" fontId="58" fillId="0" borderId="2" xfId="11" applyNumberFormat="1" applyFont="1" applyFill="1" applyBorder="1" applyAlignment="1">
      <alignment horizontal="center" wrapText="1"/>
    </xf>
    <xf numFmtId="178" fontId="23" fillId="0" borderId="2" xfId="11" applyNumberFormat="1" applyFont="1" applyFill="1" applyBorder="1" applyAlignment="1">
      <alignment horizontal="center" wrapText="1"/>
    </xf>
    <xf numFmtId="0" fontId="58" fillId="0" borderId="2" xfId="11" applyFont="1" applyFill="1" applyBorder="1" applyAlignment="1">
      <alignment horizontal="center"/>
    </xf>
    <xf numFmtId="181" fontId="58" fillId="0" borderId="2" xfId="11" applyNumberFormat="1" applyFont="1" applyFill="1" applyBorder="1" applyAlignment="1">
      <alignment horizontal="center" vertical="center"/>
    </xf>
    <xf numFmtId="168" fontId="58" fillId="0" borderId="33" xfId="11" applyNumberFormat="1" applyFont="1" applyFill="1" applyBorder="1" applyAlignment="1">
      <alignment horizontal="center" vertical="center"/>
    </xf>
    <xf numFmtId="181" fontId="23" fillId="0" borderId="2" xfId="11" applyNumberFormat="1" applyFont="1" applyFill="1" applyBorder="1" applyAlignment="1">
      <alignment horizontal="center" vertical="center"/>
    </xf>
    <xf numFmtId="168" fontId="23" fillId="0" borderId="33" xfId="11" applyNumberFormat="1" applyFont="1" applyFill="1" applyBorder="1" applyAlignment="1">
      <alignment horizontal="center" vertical="center"/>
    </xf>
    <xf numFmtId="182" fontId="58" fillId="0" borderId="2" xfId="11" applyNumberFormat="1" applyFont="1" applyFill="1" applyBorder="1" applyAlignment="1">
      <alignment horizontal="center" vertical="center"/>
    </xf>
    <xf numFmtId="182" fontId="23" fillId="0" borderId="2" xfId="11" applyNumberFormat="1" applyFont="1" applyFill="1" applyBorder="1" applyAlignment="1">
      <alignment horizontal="center" vertical="center"/>
    </xf>
    <xf numFmtId="0" fontId="137" fillId="0" borderId="0" xfId="11" applyFont="1" applyFill="1" applyAlignment="1">
      <alignment horizontal="center"/>
    </xf>
    <xf numFmtId="0" fontId="146" fillId="0" borderId="0" xfId="11" applyFont="1" applyFill="1" applyAlignment="1">
      <alignment horizontal="center"/>
    </xf>
    <xf numFmtId="0" fontId="10" fillId="0" borderId="0" xfId="11" applyFont="1" applyFill="1" applyBorder="1" applyAlignment="1">
      <alignment horizontal="left"/>
    </xf>
    <xf numFmtId="0" fontId="124" fillId="0" borderId="2" xfId="0" applyFont="1" applyBorder="1" applyAlignment="1">
      <alignment vertical="center"/>
    </xf>
    <xf numFmtId="0" fontId="69" fillId="0" borderId="2" xfId="0" applyFont="1" applyBorder="1" applyAlignment="1">
      <alignment vertical="center"/>
    </xf>
    <xf numFmtId="0" fontId="58" fillId="0" borderId="16" xfId="16" applyFont="1" applyBorder="1" applyAlignment="1">
      <alignment vertical="center"/>
    </xf>
    <xf numFmtId="1" fontId="71" fillId="0" borderId="2" xfId="0" applyNumberFormat="1" applyFont="1" applyBorder="1" applyAlignment="1">
      <alignment horizontal="center" vertical="center"/>
    </xf>
    <xf numFmtId="0" fontId="23" fillId="0" borderId="16" xfId="16" applyFont="1" applyBorder="1" applyAlignment="1">
      <alignment vertical="center" wrapText="1"/>
    </xf>
    <xf numFmtId="0" fontId="9" fillId="0" borderId="16" xfId="16" applyFont="1" applyBorder="1" applyAlignment="1">
      <alignment horizontal="center" vertical="center" wrapText="1"/>
    </xf>
    <xf numFmtId="0" fontId="9" fillId="0" borderId="33" xfId="3" applyFont="1" applyBorder="1" applyAlignment="1">
      <alignment horizontal="center" vertical="center" wrapText="1"/>
    </xf>
    <xf numFmtId="168" fontId="16" fillId="0" borderId="33" xfId="30" applyNumberFormat="1" applyFont="1" applyBorder="1" applyAlignment="1">
      <alignment horizontal="center" vertical="center"/>
    </xf>
    <xf numFmtId="0" fontId="9" fillId="0" borderId="16" xfId="30" applyFont="1" applyBorder="1" applyAlignment="1">
      <alignment horizontal="center" vertical="center"/>
    </xf>
    <xf numFmtId="168" fontId="25" fillId="0" borderId="33" xfId="16" applyNumberFormat="1" applyFont="1" applyBorder="1" applyAlignment="1">
      <alignment horizontal="center" vertical="center" wrapText="1"/>
    </xf>
    <xf numFmtId="0" fontId="71" fillId="5" borderId="2" xfId="0" applyFont="1" applyFill="1" applyBorder="1" applyAlignment="1">
      <alignment vertical="center" wrapText="1"/>
    </xf>
    <xf numFmtId="0" fontId="71" fillId="5" borderId="2" xfId="0" applyFont="1" applyFill="1" applyBorder="1" applyAlignment="1">
      <alignment horizontal="center" vertical="center" wrapText="1"/>
    </xf>
    <xf numFmtId="168" fontId="34" fillId="5" borderId="2" xfId="0" applyNumberFormat="1" applyFont="1" applyFill="1" applyBorder="1" applyAlignment="1">
      <alignment horizontal="center" vertical="center" wrapText="1"/>
    </xf>
    <xf numFmtId="0" fontId="34" fillId="5" borderId="2" xfId="0" applyFont="1" applyFill="1" applyBorder="1" applyAlignment="1">
      <alignment vertical="center" wrapText="1"/>
    </xf>
    <xf numFmtId="0" fontId="145" fillId="0" borderId="2" xfId="31" applyFont="1" applyBorder="1" applyAlignment="1">
      <alignment horizontal="center" vertical="center" wrapText="1"/>
    </xf>
    <xf numFmtId="0" fontId="56" fillId="5" borderId="2" xfId="34" applyFont="1" applyFill="1" applyBorder="1" applyAlignment="1">
      <alignment horizontal="center" vertical="center" wrapText="1"/>
    </xf>
    <xf numFmtId="0" fontId="129" fillId="5" borderId="2" xfId="34" applyFont="1" applyFill="1" applyBorder="1" applyAlignment="1">
      <alignment vertical="center" wrapText="1"/>
    </xf>
    <xf numFmtId="168" fontId="129" fillId="5" borderId="2" xfId="1" applyNumberFormat="1" applyFont="1" applyFill="1" applyBorder="1" applyAlignment="1">
      <alignment horizontal="center" vertical="center" wrapText="1"/>
    </xf>
    <xf numFmtId="0" fontId="129" fillId="5" borderId="2" xfId="34" quotePrefix="1" applyFont="1" applyFill="1" applyBorder="1" applyAlignment="1">
      <alignment horizontal="left" vertical="center" wrapText="1"/>
    </xf>
    <xf numFmtId="0" fontId="56" fillId="5" borderId="2" xfId="0" applyFont="1" applyFill="1" applyBorder="1" applyAlignment="1">
      <alignment horizontal="center" vertical="center" wrapText="1"/>
    </xf>
    <xf numFmtId="1" fontId="56" fillId="5" borderId="2" xfId="34" applyNumberFormat="1" applyFont="1" applyFill="1" applyBorder="1" applyAlignment="1">
      <alignment horizontal="center" vertical="center" wrapText="1"/>
    </xf>
    <xf numFmtId="168" fontId="56" fillId="5" borderId="2" xfId="34" applyNumberFormat="1" applyFont="1" applyFill="1" applyBorder="1" applyAlignment="1">
      <alignment horizontal="center" vertical="center" wrapText="1"/>
    </xf>
    <xf numFmtId="168" fontId="56" fillId="5" borderId="2" xfId="1" applyNumberFormat="1" applyFont="1" applyFill="1" applyBorder="1" applyAlignment="1">
      <alignment horizontal="center" vertical="center" wrapText="1"/>
    </xf>
    <xf numFmtId="0" fontId="56" fillId="5" borderId="2" xfId="34" applyFont="1" applyFill="1" applyBorder="1" applyAlignment="1">
      <alignment horizontal="left" vertical="center" wrapText="1"/>
    </xf>
    <xf numFmtId="0" fontId="129" fillId="5" borderId="2" xfId="34" applyFont="1" applyFill="1" applyBorder="1" applyAlignment="1">
      <alignment horizontal="left" vertical="center" wrapText="1"/>
    </xf>
    <xf numFmtId="1" fontId="129" fillId="5" borderId="2" xfId="34" applyNumberFormat="1" applyFont="1" applyFill="1" applyBorder="1" applyAlignment="1">
      <alignment horizontal="left" vertical="center" wrapText="1"/>
    </xf>
    <xf numFmtId="0" fontId="56" fillId="0" borderId="2" xfId="34" applyFont="1" applyBorder="1" applyAlignment="1">
      <alignment horizontal="center" vertical="center" wrapText="1"/>
    </xf>
    <xf numFmtId="0" fontId="129" fillId="0" borderId="2" xfId="34" quotePrefix="1" applyFont="1" applyBorder="1" applyAlignment="1">
      <alignment horizontal="left" vertical="center" wrapText="1"/>
    </xf>
    <xf numFmtId="1" fontId="56" fillId="0" borderId="2" xfId="34" applyNumberFormat="1" applyFont="1" applyBorder="1" applyAlignment="1">
      <alignment horizontal="center" vertical="center" wrapText="1"/>
    </xf>
    <xf numFmtId="168" fontId="56" fillId="0" borderId="2" xfId="34" applyNumberFormat="1" applyFont="1" applyBorder="1" applyAlignment="1">
      <alignment horizontal="center" vertical="center" wrapText="1"/>
    </xf>
    <xf numFmtId="168" fontId="56" fillId="0" borderId="2" xfId="1" applyNumberFormat="1" applyFont="1" applyFill="1" applyBorder="1" applyAlignment="1">
      <alignment horizontal="center" vertical="center" wrapText="1"/>
    </xf>
    <xf numFmtId="0" fontId="63" fillId="0" borderId="5" xfId="0" applyFont="1" applyBorder="1" applyAlignment="1">
      <alignment horizontal="center" vertical="center" wrapText="1"/>
    </xf>
    <xf numFmtId="0" fontId="63" fillId="0" borderId="2" xfId="0" applyFont="1" applyBorder="1" applyAlignment="1">
      <alignment horizontal="center" vertical="center" wrapText="1"/>
    </xf>
    <xf numFmtId="168" fontId="63" fillId="0" borderId="0" xfId="0" applyNumberFormat="1" applyFont="1"/>
    <xf numFmtId="0" fontId="63" fillId="0" borderId="1" xfId="0" applyFont="1" applyBorder="1"/>
    <xf numFmtId="0" fontId="63" fillId="0" borderId="13" xfId="0" applyFont="1" applyBorder="1" applyAlignment="1">
      <alignment horizontal="center"/>
    </xf>
    <xf numFmtId="0" fontId="63" fillId="0" borderId="14" xfId="0" applyFont="1" applyBorder="1" applyAlignment="1">
      <alignment horizontal="center"/>
    </xf>
    <xf numFmtId="0" fontId="63" fillId="0" borderId="0" xfId="55" applyFont="1"/>
    <xf numFmtId="0" fontId="63" fillId="0" borderId="11" xfId="0" applyFont="1" applyBorder="1"/>
    <xf numFmtId="0" fontId="63" fillId="0" borderId="13" xfId="0" applyFont="1" applyBorder="1"/>
    <xf numFmtId="1" fontId="10" fillId="0" borderId="2" xfId="0" applyNumberFormat="1" applyFont="1" applyBorder="1" applyAlignment="1">
      <alignment horizontal="center" vertical="center"/>
    </xf>
    <xf numFmtId="0" fontId="113" fillId="5" borderId="0" xfId="31" applyFont="1" applyFill="1" applyAlignment="1">
      <alignment horizontal="center" vertical="center" wrapText="1"/>
    </xf>
    <xf numFmtId="0" fontId="113" fillId="5" borderId="0" xfId="31" applyFont="1" applyFill="1" applyAlignment="1">
      <alignment vertical="center" wrapText="1"/>
    </xf>
    <xf numFmtId="0" fontId="63" fillId="5" borderId="0" xfId="0" applyFont="1" applyFill="1"/>
    <xf numFmtId="0" fontId="63" fillId="5" borderId="39" xfId="57" applyFont="1" applyFill="1" applyBorder="1" applyAlignment="1">
      <alignment horizontal="center" vertical="center"/>
    </xf>
    <xf numFmtId="1" fontId="63" fillId="5" borderId="39" xfId="57" applyNumberFormat="1" applyFont="1" applyFill="1" applyBorder="1" applyAlignment="1">
      <alignment vertical="center" wrapText="1"/>
    </xf>
    <xf numFmtId="1" fontId="63" fillId="5" borderId="39" xfId="57" applyNumberFormat="1" applyFont="1" applyFill="1" applyBorder="1" applyAlignment="1">
      <alignment vertical="center"/>
    </xf>
    <xf numFmtId="1" fontId="63" fillId="5" borderId="40" xfId="57" applyNumberFormat="1" applyFont="1" applyFill="1" applyBorder="1" applyAlignment="1">
      <alignment vertical="center"/>
    </xf>
    <xf numFmtId="0" fontId="63" fillId="5" borderId="1" xfId="57" applyFont="1" applyFill="1" applyBorder="1" applyAlignment="1">
      <alignment horizontal="left"/>
    </xf>
    <xf numFmtId="0" fontId="63" fillId="0" borderId="1" xfId="55" applyFont="1" applyBorder="1"/>
    <xf numFmtId="0" fontId="58" fillId="0" borderId="0" xfId="0" applyFont="1" applyAlignment="1">
      <alignment horizontal="left"/>
    </xf>
    <xf numFmtId="0" fontId="23" fillId="0" borderId="0" xfId="22" applyFont="1" applyAlignment="1">
      <alignment vertical="center"/>
    </xf>
    <xf numFmtId="0" fontId="23" fillId="0" borderId="0" xfId="22" applyFont="1" applyAlignment="1">
      <alignment horizontal="center" vertical="center"/>
    </xf>
    <xf numFmtId="207" fontId="50" fillId="0" borderId="0" xfId="11" applyNumberFormat="1" applyFont="1" applyFill="1"/>
    <xf numFmtId="168" fontId="50" fillId="0" borderId="0" xfId="11" applyNumberFormat="1" applyFont="1" applyFill="1"/>
    <xf numFmtId="0" fontId="23" fillId="0" borderId="0" xfId="11" applyFont="1" applyFill="1" applyBorder="1" applyAlignment="1">
      <alignment horizontal="center"/>
    </xf>
    <xf numFmtId="0" fontId="71" fillId="0" borderId="0" xfId="11" applyFont="1" applyFill="1" applyBorder="1" applyAlignment="1">
      <alignment horizontal="right"/>
    </xf>
    <xf numFmtId="0" fontId="58" fillId="0" borderId="0" xfId="11" applyFont="1" applyFill="1" applyBorder="1" applyAlignment="1">
      <alignment horizontal="center"/>
    </xf>
    <xf numFmtId="168" fontId="58" fillId="0" borderId="0" xfId="11" applyNumberFormat="1" applyFont="1" applyFill="1" applyBorder="1" applyAlignment="1">
      <alignment horizontal="center" vertical="center"/>
    </xf>
    <xf numFmtId="168" fontId="23" fillId="0" borderId="0" xfId="11" applyNumberFormat="1" applyFont="1" applyFill="1" applyBorder="1" applyAlignment="1">
      <alignment horizontal="center" vertical="center"/>
    </xf>
    <xf numFmtId="0" fontId="15" fillId="0" borderId="0" xfId="11" applyFont="1" applyFill="1" applyBorder="1" applyAlignment="1">
      <alignment horizontal="left" wrapText="1"/>
    </xf>
    <xf numFmtId="167" fontId="10" fillId="0" borderId="0" xfId="3" applyNumberFormat="1" applyFont="1" applyAlignment="1">
      <alignment horizontal="left" vertical="top" wrapText="1"/>
    </xf>
    <xf numFmtId="0" fontId="6" fillId="0" borderId="0" xfId="0" applyFont="1" applyAlignment="1">
      <alignment horizontal="center" vertical="center" wrapText="1"/>
    </xf>
    <xf numFmtId="0" fontId="9" fillId="0" borderId="0" xfId="3" applyFont="1" applyAlignment="1">
      <alignment horizontal="right" vertical="center" wrapText="1"/>
    </xf>
    <xf numFmtId="0" fontId="16" fillId="0" borderId="24" xfId="0" applyFont="1" applyBorder="1"/>
    <xf numFmtId="0" fontId="25" fillId="0" borderId="20" xfId="60" applyFont="1" applyBorder="1" applyAlignment="1">
      <alignment horizontal="center" vertical="center"/>
    </xf>
    <xf numFmtId="0" fontId="25" fillId="0" borderId="0" xfId="60" applyFont="1" applyAlignment="1">
      <alignment horizontal="center" vertical="center"/>
    </xf>
    <xf numFmtId="0" fontId="25" fillId="0" borderId="0" xfId="60" applyFont="1" applyAlignment="1">
      <alignment vertical="center"/>
    </xf>
    <xf numFmtId="0" fontId="25" fillId="0" borderId="21" xfId="60" applyFont="1" applyBorder="1" applyAlignment="1">
      <alignment vertical="center"/>
    </xf>
    <xf numFmtId="41" fontId="9" fillId="0" borderId="2" xfId="39" applyFont="1" applyBorder="1" applyAlignment="1">
      <alignment horizontal="center" vertical="center"/>
    </xf>
    <xf numFmtId="41" fontId="36" fillId="0" borderId="2" xfId="39" applyFont="1" applyBorder="1" applyAlignment="1">
      <alignment horizontal="left" vertical="center"/>
    </xf>
    <xf numFmtId="41" fontId="36" fillId="0" borderId="2" xfId="39" applyFont="1" applyBorder="1" applyAlignment="1">
      <alignment vertical="center"/>
    </xf>
    <xf numFmtId="41" fontId="15" fillId="0" borderId="2" xfId="39" applyFont="1" applyBorder="1" applyAlignment="1">
      <alignment vertical="center"/>
    </xf>
    <xf numFmtId="41" fontId="15" fillId="0" borderId="2" xfId="39" applyFont="1" applyBorder="1" applyAlignment="1">
      <alignment horizontal="right" vertical="center"/>
    </xf>
    <xf numFmtId="41" fontId="36" fillId="0" borderId="2" xfId="39" applyFont="1" applyBorder="1" applyAlignment="1">
      <alignment horizontal="left" vertical="center" wrapText="1"/>
    </xf>
    <xf numFmtId="203" fontId="36" fillId="0" borderId="2" xfId="39" applyNumberFormat="1" applyFont="1" applyBorder="1" applyAlignment="1">
      <alignment horizontal="center" vertical="center" wrapText="1"/>
    </xf>
    <xf numFmtId="41" fontId="15" fillId="0" borderId="2" xfId="39" applyFont="1" applyBorder="1" applyAlignment="1">
      <alignment horizontal="left" vertical="center" wrapText="1"/>
    </xf>
    <xf numFmtId="41" fontId="15" fillId="0" borderId="2" xfId="39" applyFont="1" applyBorder="1" applyAlignment="1">
      <alignment vertical="center" wrapText="1"/>
    </xf>
    <xf numFmtId="0" fontId="35" fillId="0" borderId="0" xfId="0" applyFont="1" applyAlignment="1">
      <alignment vertical="center" wrapText="1"/>
    </xf>
    <xf numFmtId="0" fontId="35" fillId="0" borderId="21" xfId="0" applyFont="1" applyBorder="1" applyAlignment="1">
      <alignment vertical="center" wrapText="1"/>
    </xf>
    <xf numFmtId="0" fontId="35" fillId="0" borderId="20" xfId="0" applyFont="1" applyBorder="1"/>
    <xf numFmtId="0" fontId="35" fillId="0" borderId="0" xfId="0" applyFont="1"/>
    <xf numFmtId="0" fontId="35" fillId="0" borderId="21" xfId="0" applyFont="1" applyBorder="1" applyAlignment="1">
      <alignment horizontal="center"/>
    </xf>
    <xf numFmtId="0" fontId="16" fillId="0" borderId="20" xfId="0" applyFont="1" applyBorder="1"/>
    <xf numFmtId="0" fontId="16" fillId="0" borderId="21" xfId="0" applyFont="1" applyBorder="1"/>
    <xf numFmtId="0" fontId="16" fillId="0" borderId="0" xfId="0" applyFont="1" applyAlignment="1">
      <alignment horizontal="center"/>
    </xf>
    <xf numFmtId="0" fontId="16" fillId="0" borderId="22" xfId="0" applyFont="1" applyBorder="1"/>
    <xf numFmtId="0" fontId="16" fillId="0" borderId="23" xfId="0" applyFont="1" applyBorder="1" applyAlignment="1">
      <alignment horizontal="center"/>
    </xf>
    <xf numFmtId="0" fontId="23" fillId="0" borderId="0" xfId="16" applyFont="1" applyAlignment="1">
      <alignment horizontal="right" vertical="center"/>
    </xf>
    <xf numFmtId="0" fontId="23" fillId="0" borderId="0" xfId="16" applyFont="1" applyAlignment="1">
      <alignment horizontal="center" vertical="center"/>
    </xf>
    <xf numFmtId="0" fontId="15" fillId="0" borderId="0" xfId="0" applyFont="1" applyAlignment="1">
      <alignment horizontal="left" vertical="top" wrapText="1"/>
    </xf>
    <xf numFmtId="0" fontId="9" fillId="0" borderId="0" xfId="3" applyFont="1" applyAlignment="1">
      <alignment horizontal="center" vertical="center" wrapText="1"/>
    </xf>
    <xf numFmtId="166" fontId="10" fillId="0" borderId="0" xfId="3" quotePrefix="1" applyNumberFormat="1" applyFont="1" applyAlignment="1">
      <alignment horizontal="right" vertical="center" wrapText="1"/>
    </xf>
    <xf numFmtId="0" fontId="10" fillId="0" borderId="0" xfId="0" applyFont="1" applyAlignment="1">
      <alignment horizontal="right" vertical="center" wrapText="1"/>
    </xf>
    <xf numFmtId="0" fontId="12" fillId="0" borderId="0" xfId="0" applyFont="1" applyAlignment="1">
      <alignment horizontal="right" vertical="center" wrapText="1"/>
    </xf>
    <xf numFmtId="168" fontId="10" fillId="0" borderId="0" xfId="0" applyNumberFormat="1" applyFont="1" applyAlignment="1">
      <alignment horizontal="right" vertical="center" wrapText="1"/>
    </xf>
    <xf numFmtId="170" fontId="10" fillId="0" borderId="0" xfId="3" applyNumberFormat="1" applyFont="1" applyAlignment="1">
      <alignment horizontal="right" vertical="center" wrapText="1"/>
    </xf>
    <xf numFmtId="171" fontId="10" fillId="0" borderId="0" xfId="3" applyNumberFormat="1" applyFont="1" applyAlignment="1">
      <alignment horizontal="right" vertical="center" wrapText="1"/>
    </xf>
    <xf numFmtId="173" fontId="16" fillId="0" borderId="0" xfId="3" applyNumberFormat="1" applyFont="1" applyAlignment="1">
      <alignment horizontal="right" vertical="center" wrapText="1"/>
    </xf>
    <xf numFmtId="1" fontId="16" fillId="0" borderId="0" xfId="3" applyNumberFormat="1" applyFont="1" applyAlignment="1">
      <alignment horizontal="right" vertical="center" wrapText="1"/>
    </xf>
    <xf numFmtId="165" fontId="16" fillId="0" borderId="0" xfId="6" applyFont="1" applyFill="1" applyBorder="1" applyAlignment="1">
      <alignment horizontal="right" vertical="center" wrapText="1"/>
    </xf>
    <xf numFmtId="175" fontId="10" fillId="0" borderId="0" xfId="6" applyNumberFormat="1" applyFont="1" applyFill="1" applyBorder="1" applyAlignment="1">
      <alignment horizontal="right" vertical="center" wrapText="1"/>
    </xf>
    <xf numFmtId="173" fontId="10" fillId="0" borderId="0" xfId="3" applyNumberFormat="1" applyFont="1" applyAlignment="1">
      <alignment horizontal="right" vertical="center" wrapText="1"/>
    </xf>
    <xf numFmtId="0" fontId="12" fillId="0" borderId="0" xfId="0" applyFont="1" applyAlignment="1">
      <alignment horizontal="right" wrapText="1"/>
    </xf>
    <xf numFmtId="0" fontId="23" fillId="0" borderId="7" xfId="3" applyFont="1" applyBorder="1" applyAlignment="1">
      <alignment horizontal="center" vertical="center" wrapText="1"/>
    </xf>
    <xf numFmtId="1" fontId="71" fillId="0" borderId="0" xfId="0" applyNumberFormat="1" applyFont="1" applyAlignment="1">
      <alignment horizontal="center" vertical="center"/>
    </xf>
    <xf numFmtId="168" fontId="23" fillId="0" borderId="7" xfId="0" applyNumberFormat="1" applyFont="1" applyBorder="1" applyAlignment="1">
      <alignment horizontal="center" vertical="center" wrapText="1"/>
    </xf>
    <xf numFmtId="1" fontId="71" fillId="0" borderId="7" xfId="0" applyNumberFormat="1" applyFont="1" applyBorder="1" applyAlignment="1">
      <alignment horizontal="center"/>
    </xf>
    <xf numFmtId="0" fontId="71" fillId="0" borderId="7" xfId="0" applyFont="1" applyBorder="1"/>
    <xf numFmtId="2" fontId="71" fillId="0" borderId="7" xfId="0" applyNumberFormat="1" applyFont="1" applyBorder="1" applyAlignment="1">
      <alignment horizontal="center"/>
    </xf>
    <xf numFmtId="1" fontId="71" fillId="0" borderId="7" xfId="0" applyNumberFormat="1" applyFont="1" applyBorder="1" applyAlignment="1">
      <alignment horizontal="center" vertical="center"/>
    </xf>
    <xf numFmtId="1" fontId="34" fillId="0" borderId="7" xfId="0" applyNumberFormat="1" applyFont="1" applyBorder="1" applyAlignment="1">
      <alignment horizontal="center" vertical="center"/>
    </xf>
    <xf numFmtId="0" fontId="71" fillId="0" borderId="2" xfId="0" applyFont="1" applyBorder="1"/>
    <xf numFmtId="168" fontId="71" fillId="0" borderId="7" xfId="0" applyNumberFormat="1" applyFont="1" applyBorder="1" applyAlignment="1">
      <alignment horizontal="center" vertical="center"/>
    </xf>
    <xf numFmtId="168" fontId="34" fillId="0" borderId="7" xfId="0" applyNumberFormat="1" applyFont="1" applyBorder="1" applyAlignment="1">
      <alignment horizontal="center" vertical="center"/>
    </xf>
    <xf numFmtId="168" fontId="49" fillId="0" borderId="7" xfId="0" applyNumberFormat="1" applyFont="1" applyBorder="1" applyAlignment="1">
      <alignment horizontal="center" vertical="center"/>
    </xf>
    <xf numFmtId="168" fontId="9" fillId="0" borderId="7" xfId="0" applyNumberFormat="1" applyFont="1" applyBorder="1" applyAlignment="1">
      <alignment horizontal="center" vertical="center" wrapText="1"/>
    </xf>
    <xf numFmtId="0" fontId="16" fillId="0" borderId="46" xfId="0" applyFont="1" applyBorder="1" applyAlignment="1">
      <alignment horizontal="justify" vertical="center"/>
    </xf>
    <xf numFmtId="0" fontId="16" fillId="0" borderId="25" xfId="0" applyFont="1" applyBorder="1" applyAlignment="1">
      <alignment horizontal="justify" vertical="center"/>
    </xf>
    <xf numFmtId="0" fontId="23" fillId="0" borderId="0" xfId="0" applyFont="1" applyAlignment="1">
      <alignment horizontal="center" wrapText="1"/>
    </xf>
    <xf numFmtId="168" fontId="23" fillId="0" borderId="0" xfId="16" applyNumberFormat="1" applyFont="1" applyAlignment="1">
      <alignment horizontal="center" vertical="top"/>
    </xf>
    <xf numFmtId="0" fontId="58" fillId="0" borderId="0" xfId="16" applyFont="1" applyAlignment="1">
      <alignment horizontal="left" vertical="center"/>
    </xf>
    <xf numFmtId="0" fontId="58" fillId="0" borderId="0" xfId="16" applyFont="1" applyAlignment="1">
      <alignment horizontal="right" indent="2"/>
    </xf>
    <xf numFmtId="1" fontId="34" fillId="0" borderId="0" xfId="16" applyNumberFormat="1" applyFont="1" applyAlignment="1">
      <alignment horizontal="center"/>
    </xf>
    <xf numFmtId="1" fontId="71" fillId="0" borderId="0" xfId="16" applyNumberFormat="1" applyFont="1" applyAlignment="1">
      <alignment horizontal="center"/>
    </xf>
    <xf numFmtId="0" fontId="58" fillId="0" borderId="0" xfId="16" applyFont="1" applyAlignment="1">
      <alignment horizontal="center"/>
    </xf>
    <xf numFmtId="168" fontId="58" fillId="0" borderId="0" xfId="16" applyNumberFormat="1" applyFont="1" applyAlignment="1">
      <alignment horizontal="center"/>
    </xf>
    <xf numFmtId="1" fontId="58" fillId="0" borderId="0" xfId="16" applyNumberFormat="1" applyFont="1" applyAlignment="1">
      <alignment horizontal="center"/>
    </xf>
    <xf numFmtId="0" fontId="58" fillId="0" borderId="0" xfId="16" applyFont="1" applyAlignment="1">
      <alignment horizontal="left" vertical="center" wrapText="1"/>
    </xf>
    <xf numFmtId="0" fontId="58" fillId="0" borderId="0" xfId="16" applyFont="1"/>
    <xf numFmtId="9" fontId="15" fillId="0" borderId="0" xfId="1" applyFont="1" applyFill="1" applyBorder="1"/>
    <xf numFmtId="0" fontId="16" fillId="0" borderId="23" xfId="0" applyFont="1" applyBorder="1"/>
    <xf numFmtId="168" fontId="15" fillId="0" borderId="7" xfId="35" applyNumberFormat="1" applyFont="1" applyBorder="1" applyAlignment="1">
      <alignment horizontal="center" vertical="center" wrapText="1"/>
    </xf>
    <xf numFmtId="168" fontId="36" fillId="0" borderId="7" xfId="35" applyNumberFormat="1" applyFont="1" applyBorder="1" applyAlignment="1">
      <alignment horizontal="center" vertical="center" wrapText="1"/>
    </xf>
    <xf numFmtId="1" fontId="77" fillId="0" borderId="0" xfId="0" applyNumberFormat="1" applyFont="1" applyAlignment="1">
      <alignment horizontal="center" vertical="center" wrapText="1"/>
    </xf>
    <xf numFmtId="0" fontId="77" fillId="0" borderId="0" xfId="0" applyFont="1" applyAlignment="1">
      <alignment horizontal="center" vertical="center" wrapText="1"/>
    </xf>
    <xf numFmtId="0" fontId="77" fillId="0" borderId="0" xfId="0" applyFont="1" applyAlignment="1">
      <alignment horizontal="center" vertical="center"/>
    </xf>
    <xf numFmtId="168" fontId="77" fillId="0" borderId="0" xfId="0" applyNumberFormat="1" applyFont="1" applyAlignment="1">
      <alignment horizontal="center" vertical="center" wrapText="1"/>
    </xf>
    <xf numFmtId="0" fontId="77" fillId="0" borderId="21" xfId="0" applyFont="1" applyBorder="1" applyAlignment="1">
      <alignment horizontal="center" vertical="center"/>
    </xf>
    <xf numFmtId="168" fontId="77" fillId="0" borderId="0" xfId="0" applyNumberFormat="1" applyFont="1" applyAlignment="1">
      <alignment horizontal="center" vertical="center"/>
    </xf>
    <xf numFmtId="168" fontId="149" fillId="0" borderId="0" xfId="0" applyNumberFormat="1" applyFont="1" applyAlignment="1">
      <alignment horizontal="center" vertical="center"/>
    </xf>
    <xf numFmtId="0" fontId="77" fillId="0" borderId="21" xfId="0" applyFont="1" applyBorder="1" applyAlignment="1">
      <alignment horizontal="center" vertical="center" wrapText="1"/>
    </xf>
    <xf numFmtId="0" fontId="77" fillId="0" borderId="23" xfId="0" applyFont="1" applyBorder="1" applyAlignment="1">
      <alignment horizontal="center" vertical="center" wrapText="1"/>
    </xf>
    <xf numFmtId="0" fontId="77" fillId="0" borderId="24" xfId="0" applyFont="1" applyBorder="1" applyAlignment="1">
      <alignment horizontal="center" vertical="center" wrapText="1"/>
    </xf>
    <xf numFmtId="0" fontId="14" fillId="0" borderId="0" xfId="0" applyFont="1" applyAlignment="1">
      <alignment horizontal="center"/>
    </xf>
    <xf numFmtId="168" fontId="149" fillId="0" borderId="21" xfId="0" applyNumberFormat="1" applyFont="1" applyBorder="1" applyAlignment="1">
      <alignment horizontal="center" vertical="center"/>
    </xf>
    <xf numFmtId="0" fontId="14" fillId="0" borderId="21" xfId="0" applyFont="1" applyBorder="1"/>
    <xf numFmtId="0" fontId="14" fillId="0" borderId="23" xfId="0" applyFont="1" applyBorder="1"/>
    <xf numFmtId="0" fontId="14" fillId="0" borderId="24" xfId="0" applyFont="1" applyBorder="1"/>
    <xf numFmtId="0" fontId="36" fillId="0" borderId="0" xfId="35" applyFont="1" applyAlignment="1">
      <alignment horizontal="center" vertical="center" wrapText="1"/>
    </xf>
    <xf numFmtId="0" fontId="44" fillId="0" borderId="0" xfId="0" applyFont="1" applyAlignment="1">
      <alignment horizontal="right" vertical="center" wrapText="1"/>
    </xf>
    <xf numFmtId="0" fontId="34" fillId="0" borderId="0" xfId="0" applyFont="1" applyAlignment="1">
      <alignment horizontal="center" vertical="center" wrapText="1"/>
    </xf>
    <xf numFmtId="168" fontId="36" fillId="0" borderId="0" xfId="0" applyNumberFormat="1" applyFont="1"/>
    <xf numFmtId="168" fontId="9" fillId="0" borderId="0" xfId="0" applyNumberFormat="1" applyFont="1"/>
    <xf numFmtId="0" fontId="14" fillId="0" borderId="0" xfId="0" applyFont="1" applyAlignment="1">
      <alignment vertical="center"/>
    </xf>
    <xf numFmtId="41" fontId="45" fillId="0" borderId="10" xfId="39" applyFont="1" applyBorder="1" applyAlignment="1">
      <alignment vertical="center"/>
    </xf>
    <xf numFmtId="168" fontId="45" fillId="0" borderId="12" xfId="0" applyNumberFormat="1" applyFont="1" applyBorder="1" applyAlignment="1">
      <alignment horizontal="right" vertical="center" wrapText="1" indent="1"/>
    </xf>
    <xf numFmtId="168" fontId="45" fillId="0" borderId="12" xfId="0" applyNumberFormat="1" applyFont="1" applyBorder="1" applyAlignment="1">
      <alignment horizontal="center" vertical="center" wrapText="1"/>
    </xf>
    <xf numFmtId="168" fontId="45" fillId="0" borderId="4" xfId="0" applyNumberFormat="1" applyFont="1" applyBorder="1" applyAlignment="1">
      <alignment horizontal="center" vertical="center" wrapText="1"/>
    </xf>
    <xf numFmtId="0" fontId="77" fillId="0" borderId="0" xfId="0" applyFont="1"/>
    <xf numFmtId="0" fontId="77" fillId="0" borderId="0" xfId="0" applyFont="1" applyAlignment="1">
      <alignment horizontal="center"/>
    </xf>
    <xf numFmtId="0" fontId="77" fillId="0" borderId="15" xfId="0" applyFont="1" applyBorder="1" applyAlignment="1">
      <alignment horizontal="center"/>
    </xf>
    <xf numFmtId="0" fontId="77" fillId="0" borderId="23" xfId="0" applyFont="1" applyBorder="1" applyAlignment="1">
      <alignment horizontal="left" vertical="top"/>
    </xf>
    <xf numFmtId="0" fontId="77" fillId="0" borderId="24" xfId="0" applyFont="1" applyBorder="1" applyAlignment="1">
      <alignment horizontal="left" vertical="top"/>
    </xf>
    <xf numFmtId="0" fontId="36" fillId="0" borderId="2" xfId="0" applyFont="1" applyBorder="1" applyAlignment="1">
      <alignment horizontal="center" wrapText="1"/>
    </xf>
    <xf numFmtId="0" fontId="15" fillId="0" borderId="16" xfId="0" applyFont="1" applyBorder="1" applyAlignment="1">
      <alignment vertical="center"/>
    </xf>
    <xf numFmtId="0" fontId="15" fillId="0" borderId="16" xfId="0" applyFont="1" applyBorder="1" applyAlignment="1">
      <alignment vertical="center" wrapText="1"/>
    </xf>
    <xf numFmtId="0" fontId="15" fillId="0" borderId="2" xfId="0" applyFont="1" applyBorder="1" applyAlignment="1">
      <alignment horizontal="center" vertical="center" wrapText="1"/>
    </xf>
    <xf numFmtId="0" fontId="15" fillId="0" borderId="2" xfId="0" applyFont="1" applyBorder="1" applyAlignment="1">
      <alignment horizontal="center" vertical="center"/>
    </xf>
    <xf numFmtId="1" fontId="34" fillId="5" borderId="2" xfId="0" applyNumberFormat="1" applyFont="1" applyFill="1" applyBorder="1" applyAlignment="1">
      <alignment horizontal="center" vertical="center" wrapText="1"/>
    </xf>
    <xf numFmtId="169" fontId="10" fillId="0" borderId="44" xfId="1" applyNumberFormat="1" applyFont="1" applyBorder="1" applyAlignment="1">
      <alignment horizontal="center" vertical="center" wrapText="1"/>
    </xf>
    <xf numFmtId="0" fontId="48" fillId="0" borderId="18" xfId="35" applyFont="1" applyBorder="1" applyAlignment="1">
      <alignment vertical="center" wrapText="1"/>
    </xf>
    <xf numFmtId="0" fontId="48" fillId="0" borderId="19" xfId="35" applyFont="1" applyBorder="1" applyAlignment="1">
      <alignment vertical="center" wrapText="1"/>
    </xf>
    <xf numFmtId="169" fontId="75" fillId="0" borderId="21" xfId="1" applyNumberFormat="1" applyFont="1" applyFill="1" applyBorder="1"/>
    <xf numFmtId="168" fontId="36" fillId="0" borderId="16" xfId="38" applyNumberFormat="1" applyFont="1" applyBorder="1" applyAlignment="1">
      <alignment vertical="center" wrapText="1"/>
    </xf>
    <xf numFmtId="1" fontId="36" fillId="0" borderId="2" xfId="0" applyNumberFormat="1" applyFont="1" applyBorder="1" applyAlignment="1">
      <alignment horizontal="center" vertical="center" wrapText="1"/>
    </xf>
    <xf numFmtId="1" fontId="36" fillId="0" borderId="33" xfId="0" applyNumberFormat="1" applyFont="1" applyBorder="1" applyAlignment="1">
      <alignment horizontal="center" vertical="center" wrapText="1"/>
    </xf>
    <xf numFmtId="168" fontId="7" fillId="0" borderId="2" xfId="0" applyNumberFormat="1" applyFont="1" applyBorder="1" applyAlignment="1">
      <alignment horizontal="center" vertical="center" wrapText="1"/>
    </xf>
    <xf numFmtId="2" fontId="7" fillId="0" borderId="2" xfId="0" applyNumberFormat="1" applyFont="1" applyBorder="1"/>
    <xf numFmtId="195" fontId="13" fillId="0" borderId="16" xfId="0" applyNumberFormat="1" applyFont="1" applyBorder="1" applyAlignment="1">
      <alignment horizontal="left" vertical="center" wrapText="1"/>
    </xf>
    <xf numFmtId="168" fontId="13" fillId="0" borderId="2" xfId="0" applyNumberFormat="1" applyFont="1" applyBorder="1" applyAlignment="1">
      <alignment horizontal="center" vertical="center" wrapText="1"/>
    </xf>
    <xf numFmtId="2" fontId="7" fillId="0" borderId="0" xfId="0" applyNumberFormat="1" applyFont="1"/>
    <xf numFmtId="2" fontId="41" fillId="0" borderId="0" xfId="0" applyNumberFormat="1" applyFont="1"/>
    <xf numFmtId="0" fontId="34" fillId="0" borderId="38" xfId="0" applyFont="1" applyBorder="1" applyAlignment="1">
      <alignment horizontal="center" vertical="center" wrapText="1"/>
    </xf>
    <xf numFmtId="0" fontId="34" fillId="0" borderId="14" xfId="0" applyFont="1" applyBorder="1" applyAlignment="1">
      <alignment horizontal="center" vertical="center" wrapText="1"/>
    </xf>
    <xf numFmtId="0" fontId="34" fillId="0" borderId="14" xfId="0" applyFont="1" applyBorder="1" applyAlignment="1">
      <alignment horizontal="center" vertical="center" shrinkToFit="1"/>
    </xf>
    <xf numFmtId="0" fontId="34" fillId="0" borderId="48" xfId="0" applyFont="1" applyBorder="1" applyAlignment="1">
      <alignment horizontal="center" vertical="center" wrapText="1"/>
    </xf>
    <xf numFmtId="168" fontId="15" fillId="0" borderId="2" xfId="0" applyNumberFormat="1" applyFont="1" applyBorder="1" applyAlignment="1">
      <alignment vertical="center"/>
    </xf>
    <xf numFmtId="0" fontId="34" fillId="0" borderId="16" xfId="0" applyFont="1" applyBorder="1" applyAlignment="1">
      <alignment horizontal="center" vertical="center" wrapText="1"/>
    </xf>
    <xf numFmtId="0" fontId="34" fillId="0" borderId="2" xfId="0" applyFont="1" applyBorder="1" applyAlignment="1">
      <alignment horizontal="center" vertical="center" shrinkToFit="1"/>
    </xf>
    <xf numFmtId="0" fontId="34" fillId="0" borderId="33" xfId="0" applyFont="1" applyBorder="1" applyAlignment="1">
      <alignment horizontal="center" vertical="center" shrinkToFit="1"/>
    </xf>
    <xf numFmtId="0" fontId="36" fillId="0" borderId="38" xfId="0" applyFont="1" applyBorder="1" applyAlignment="1">
      <alignment horizontal="center" vertical="center" wrapText="1"/>
    </xf>
    <xf numFmtId="0" fontId="36" fillId="0" borderId="14" xfId="0" applyFont="1" applyBorder="1" applyAlignment="1">
      <alignment horizontal="center" vertical="center" wrapText="1"/>
    </xf>
    <xf numFmtId="0" fontId="36" fillId="0" borderId="14" xfId="0" applyFont="1" applyBorder="1" applyAlignment="1">
      <alignment horizontal="center" vertical="center" shrinkToFit="1"/>
    </xf>
    <xf numFmtId="0" fontId="36" fillId="0" borderId="48" xfId="0" applyFont="1" applyBorder="1" applyAlignment="1">
      <alignment horizontal="center" vertical="center" shrinkToFit="1"/>
    </xf>
    <xf numFmtId="0" fontId="34" fillId="0" borderId="2" xfId="0" applyFont="1" applyBorder="1" applyAlignment="1">
      <alignment horizontal="center" vertical="center"/>
    </xf>
    <xf numFmtId="168" fontId="71" fillId="0" borderId="33" xfId="0" applyNumberFormat="1" applyFont="1" applyBorder="1" applyAlignment="1">
      <alignment horizontal="center" vertical="center"/>
    </xf>
    <xf numFmtId="168" fontId="34" fillId="0" borderId="33" xfId="0" applyNumberFormat="1" applyFont="1" applyBorder="1" applyAlignment="1">
      <alignment horizontal="center" vertical="center"/>
    </xf>
    <xf numFmtId="0" fontId="71" fillId="0" borderId="16" xfId="0" applyFont="1" applyBorder="1" applyAlignment="1">
      <alignment vertical="center" wrapText="1"/>
    </xf>
    <xf numFmtId="0" fontId="71" fillId="0" borderId="20" xfId="0" applyFont="1" applyBorder="1" applyAlignment="1">
      <alignment vertical="center" wrapText="1"/>
    </xf>
    <xf numFmtId="0" fontId="34" fillId="0" borderId="16" xfId="0" applyFont="1" applyBorder="1" applyAlignment="1">
      <alignment horizontal="center" vertical="center"/>
    </xf>
    <xf numFmtId="0" fontId="33" fillId="0" borderId="16" xfId="44" applyFont="1" applyBorder="1" applyAlignment="1">
      <alignment horizontal="center" vertical="center"/>
    </xf>
    <xf numFmtId="0" fontId="34" fillId="0" borderId="16" xfId="0" applyFont="1" applyBorder="1" applyAlignment="1">
      <alignment horizontal="right" vertical="center"/>
    </xf>
    <xf numFmtId="168" fontId="15" fillId="0" borderId="2" xfId="0" applyNumberFormat="1" applyFont="1" applyBorder="1" applyAlignment="1" applyProtection="1">
      <alignment horizontal="center" vertical="center"/>
      <protection locked="0"/>
    </xf>
    <xf numFmtId="3" fontId="15" fillId="0" borderId="2" xfId="0" applyNumberFormat="1" applyFont="1" applyBorder="1" applyAlignment="1" applyProtection="1">
      <alignment horizontal="center" vertical="center"/>
      <protection locked="0"/>
    </xf>
    <xf numFmtId="206" fontId="15" fillId="0" borderId="2" xfId="0" applyNumberFormat="1" applyFont="1" applyBorder="1" applyAlignment="1" applyProtection="1">
      <alignment horizontal="center" vertical="center"/>
      <protection locked="0"/>
    </xf>
    <xf numFmtId="2" fontId="15" fillId="0" borderId="33" xfId="6" applyNumberFormat="1" applyFont="1" applyFill="1" applyBorder="1" applyAlignment="1" applyProtection="1">
      <alignment horizontal="center" vertical="center"/>
      <protection locked="0"/>
    </xf>
    <xf numFmtId="2" fontId="15" fillId="0" borderId="2" xfId="6" applyNumberFormat="1" applyFont="1" applyFill="1" applyBorder="1" applyAlignment="1" applyProtection="1">
      <alignment horizontal="center" vertical="center"/>
      <protection locked="0"/>
    </xf>
    <xf numFmtId="0" fontId="36" fillId="0" borderId="2" xfId="60" applyFont="1" applyBorder="1" applyAlignment="1">
      <alignment horizontal="center" vertical="center" wrapText="1"/>
    </xf>
    <xf numFmtId="0" fontId="36" fillId="0" borderId="2" xfId="60" applyFont="1" applyBorder="1" applyAlignment="1">
      <alignment horizontal="center" vertical="center"/>
    </xf>
    <xf numFmtId="0" fontId="36" fillId="0" borderId="33" xfId="60" applyFont="1" applyBorder="1" applyAlignment="1">
      <alignment horizontal="center" vertical="center"/>
    </xf>
    <xf numFmtId="0" fontId="15" fillId="0" borderId="7" xfId="0" applyFont="1" applyBorder="1" applyAlignment="1">
      <alignment horizontal="center" vertical="center"/>
    </xf>
    <xf numFmtId="0" fontId="15" fillId="0" borderId="8" xfId="0" applyFont="1" applyBorder="1" applyAlignment="1">
      <alignment horizontal="center" vertical="center"/>
    </xf>
    <xf numFmtId="0" fontId="15" fillId="0" borderId="9" xfId="0" applyFont="1" applyBorder="1" applyAlignment="1">
      <alignment horizontal="center" vertical="center"/>
    </xf>
    <xf numFmtId="0" fontId="36" fillId="0" borderId="0" xfId="0" applyFont="1" applyAlignment="1">
      <alignment horizontal="center" vertical="center" wrapText="1"/>
    </xf>
    <xf numFmtId="0" fontId="68" fillId="0" borderId="0" xfId="34" quotePrefix="1" applyFont="1" applyAlignment="1">
      <alignment horizontal="left" vertical="center" wrapText="1"/>
    </xf>
    <xf numFmtId="0" fontId="9" fillId="0" borderId="32" xfId="0" applyFont="1" applyBorder="1" applyAlignment="1">
      <alignment horizontal="center" vertical="center" wrapText="1"/>
    </xf>
    <xf numFmtId="0" fontId="36" fillId="0" borderId="2" xfId="0" applyFont="1" applyBorder="1" applyAlignment="1">
      <alignment horizontal="center"/>
    </xf>
    <xf numFmtId="0" fontId="10" fillId="0" borderId="2" xfId="0" applyFont="1" applyBorder="1" applyAlignment="1">
      <alignment horizontal="left" vertical="center" wrapText="1"/>
    </xf>
    <xf numFmtId="0" fontId="108" fillId="0" borderId="0" xfId="0" applyFont="1" applyAlignment="1">
      <alignment horizontal="center" vertical="center"/>
    </xf>
    <xf numFmtId="0" fontId="36" fillId="0" borderId="16" xfId="0" applyFont="1" applyBorder="1" applyAlignment="1">
      <alignment horizontal="center" vertical="center" wrapText="1"/>
    </xf>
    <xf numFmtId="0" fontId="36" fillId="0" borderId="33" xfId="0" applyFont="1" applyBorder="1" applyAlignment="1">
      <alignment horizontal="center" vertical="center" wrapText="1"/>
    </xf>
    <xf numFmtId="168" fontId="36" fillId="0" borderId="2" xfId="0" applyNumberFormat="1" applyFont="1" applyBorder="1" applyAlignment="1">
      <alignment horizontal="center" vertical="center"/>
    </xf>
    <xf numFmtId="0" fontId="36" fillId="0" borderId="2" xfId="0" applyFont="1" applyBorder="1"/>
    <xf numFmtId="169" fontId="15" fillId="0" borderId="0" xfId="1" applyNumberFormat="1" applyFont="1"/>
    <xf numFmtId="168" fontId="56" fillId="0" borderId="3" xfId="16" applyNumberFormat="1" applyFont="1" applyBorder="1" applyAlignment="1">
      <alignment horizontal="center" vertical="center" wrapText="1"/>
    </xf>
    <xf numFmtId="168" fontId="56" fillId="0" borderId="34" xfId="16" applyNumberFormat="1" applyFont="1" applyBorder="1" applyAlignment="1">
      <alignment horizontal="center" vertical="center" wrapText="1"/>
    </xf>
    <xf numFmtId="2" fontId="129" fillId="0" borderId="2" xfId="0" applyNumberFormat="1" applyFont="1" applyBorder="1" applyAlignment="1">
      <alignment horizontal="center" vertical="center"/>
    </xf>
    <xf numFmtId="0" fontId="56" fillId="0" borderId="2" xfId="0" applyFont="1" applyBorder="1" applyAlignment="1">
      <alignment horizontal="center" vertical="top"/>
    </xf>
    <xf numFmtId="0" fontId="56" fillId="0" borderId="33" xfId="0" applyFont="1" applyBorder="1" applyAlignment="1">
      <alignment horizontal="center" vertical="top"/>
    </xf>
    <xf numFmtId="168" fontId="56" fillId="0" borderId="2" xfId="0" applyNumberFormat="1" applyFont="1" applyBorder="1" applyAlignment="1">
      <alignment horizontal="center" vertical="top"/>
    </xf>
    <xf numFmtId="168" fontId="56" fillId="0" borderId="33" xfId="0" applyNumberFormat="1" applyFont="1" applyBorder="1" applyAlignment="1">
      <alignment horizontal="center" vertical="top"/>
    </xf>
    <xf numFmtId="0" fontId="56" fillId="0" borderId="2" xfId="0" applyFont="1" applyBorder="1" applyAlignment="1">
      <alignment horizontal="center" vertical="center"/>
    </xf>
    <xf numFmtId="0" fontId="56" fillId="0" borderId="33" xfId="0" applyFont="1" applyBorder="1" applyAlignment="1">
      <alignment horizontal="center" vertical="center"/>
    </xf>
    <xf numFmtId="185" fontId="58" fillId="0" borderId="20" xfId="0" applyNumberFormat="1" applyFont="1" applyBorder="1"/>
    <xf numFmtId="185" fontId="58" fillId="0" borderId="0" xfId="0" applyNumberFormat="1" applyFont="1"/>
    <xf numFmtId="0" fontId="58" fillId="5" borderId="0" xfId="0" applyFont="1" applyFill="1"/>
    <xf numFmtId="0" fontId="23" fillId="5" borderId="20" xfId="0" applyFont="1" applyFill="1" applyBorder="1"/>
    <xf numFmtId="0" fontId="9" fillId="0" borderId="3" xfId="0" applyFont="1" applyBorder="1" applyAlignment="1">
      <alignment horizontal="center" vertical="center" wrapText="1"/>
    </xf>
    <xf numFmtId="0" fontId="136" fillId="0" borderId="16" xfId="20" applyFont="1" applyBorder="1" applyAlignment="1">
      <alignment horizontal="left" vertical="center" wrapText="1"/>
    </xf>
    <xf numFmtId="1" fontId="23" fillId="0" borderId="2" xfId="16" applyNumberFormat="1" applyFont="1" applyBorder="1" applyAlignment="1">
      <alignment horizontal="center" vertical="center"/>
    </xf>
    <xf numFmtId="1" fontId="58" fillId="0" borderId="2" xfId="16" applyNumberFormat="1" applyFont="1" applyBorder="1" applyAlignment="1">
      <alignment horizontal="center" vertical="center"/>
    </xf>
    <xf numFmtId="0" fontId="60" fillId="5" borderId="2" xfId="81" applyFont="1" applyFill="1" applyBorder="1" applyAlignment="1">
      <alignment vertical="center" wrapText="1"/>
    </xf>
    <xf numFmtId="0" fontId="57" fillId="5" borderId="2" xfId="81" applyFill="1" applyBorder="1" applyAlignment="1">
      <alignment horizontal="center" vertical="center" wrapText="1"/>
    </xf>
    <xf numFmtId="0" fontId="7" fillId="5" borderId="0" xfId="0" applyFont="1" applyFill="1" applyAlignment="1">
      <alignment vertical="center"/>
    </xf>
    <xf numFmtId="0" fontId="47" fillId="0" borderId="0" xfId="4" applyFont="1" applyAlignment="1">
      <alignment horizontal="center" vertical="center" wrapText="1"/>
    </xf>
    <xf numFmtId="0" fontId="36" fillId="0" borderId="20" xfId="0" applyFont="1" applyBorder="1" applyAlignment="1">
      <alignment horizontal="center" vertical="center" wrapText="1"/>
    </xf>
    <xf numFmtId="0" fontId="15" fillId="0" borderId="0" xfId="0" applyFont="1" applyAlignment="1">
      <alignment horizontal="center" vertical="center" wrapText="1"/>
    </xf>
    <xf numFmtId="0" fontId="10" fillId="15" borderId="0" xfId="0" applyFont="1" applyFill="1"/>
    <xf numFmtId="0" fontId="34" fillId="5" borderId="2" xfId="0" applyFont="1" applyFill="1" applyBorder="1" applyAlignment="1">
      <alignment horizontal="center" vertical="center" wrapText="1"/>
    </xf>
    <xf numFmtId="0" fontId="34" fillId="5" borderId="2" xfId="0" applyFont="1" applyFill="1" applyBorder="1" applyAlignment="1">
      <alignment horizontal="center" vertical="center" textRotation="90" wrapText="1"/>
    </xf>
    <xf numFmtId="0" fontId="34" fillId="5" borderId="3" xfId="0" applyFont="1" applyFill="1" applyBorder="1" applyAlignment="1">
      <alignment horizontal="center" vertical="center" textRotation="90" wrapText="1"/>
    </xf>
    <xf numFmtId="0" fontId="34" fillId="5" borderId="34" xfId="0" applyFont="1" applyFill="1" applyBorder="1" applyAlignment="1">
      <alignment horizontal="center" vertical="center" textRotation="90" wrapText="1"/>
    </xf>
    <xf numFmtId="3" fontId="34" fillId="5" borderId="16" xfId="0" applyNumberFormat="1" applyFont="1" applyFill="1" applyBorder="1" applyAlignment="1">
      <alignment horizontal="center" vertical="center" textRotation="255" wrapText="1"/>
    </xf>
    <xf numFmtId="0" fontId="34" fillId="5" borderId="2" xfId="0" applyFont="1" applyFill="1" applyBorder="1" applyAlignment="1">
      <alignment horizontal="left" vertical="center" wrapText="1"/>
    </xf>
    <xf numFmtId="168" fontId="71" fillId="5" borderId="2" xfId="0" applyNumberFormat="1" applyFont="1" applyFill="1" applyBorder="1" applyAlignment="1">
      <alignment horizontal="center" vertical="center" wrapText="1"/>
    </xf>
    <xf numFmtId="1" fontId="71" fillId="5" borderId="2" xfId="0" applyNumberFormat="1" applyFont="1" applyFill="1" applyBorder="1" applyAlignment="1">
      <alignment horizontal="center" vertical="center" wrapText="1"/>
    </xf>
    <xf numFmtId="0" fontId="34" fillId="5" borderId="2" xfId="0" applyFont="1" applyFill="1" applyBorder="1" applyAlignment="1">
      <alignment horizontal="right" vertical="center" wrapText="1"/>
    </xf>
    <xf numFmtId="186" fontId="34" fillId="5" borderId="2" xfId="0" applyNumberFormat="1" applyFont="1" applyFill="1" applyBorder="1" applyAlignment="1">
      <alignment horizontal="center" vertical="center" wrapText="1"/>
    </xf>
    <xf numFmtId="168" fontId="15" fillId="5" borderId="2" xfId="0" applyNumberFormat="1" applyFont="1" applyFill="1" applyBorder="1" applyAlignment="1">
      <alignment horizontal="center" vertical="center"/>
    </xf>
    <xf numFmtId="0" fontId="15" fillId="5" borderId="2" xfId="0" applyFont="1" applyFill="1" applyBorder="1" applyAlignment="1">
      <alignment horizontal="center" vertical="center"/>
    </xf>
    <xf numFmtId="0" fontId="71" fillId="5" borderId="2" xfId="0" applyFont="1" applyFill="1" applyBorder="1" applyAlignment="1">
      <alignment horizontal="left" vertical="center" wrapText="1" indent="1"/>
    </xf>
    <xf numFmtId="2" fontId="71" fillId="5" borderId="2" xfId="0" applyNumberFormat="1" applyFont="1" applyFill="1" applyBorder="1" applyAlignment="1">
      <alignment horizontal="center" vertical="center" wrapText="1"/>
    </xf>
    <xf numFmtId="185" fontId="71" fillId="5" borderId="2" xfId="0" applyNumberFormat="1" applyFont="1" applyFill="1" applyBorder="1" applyAlignment="1">
      <alignment horizontal="center" vertical="center" wrapText="1"/>
    </xf>
    <xf numFmtId="1" fontId="34" fillId="5" borderId="2" xfId="0" applyNumberFormat="1" applyFont="1" applyFill="1" applyBorder="1" applyAlignment="1">
      <alignment horizontal="left" vertical="center" wrapText="1" indent="1"/>
    </xf>
    <xf numFmtId="1" fontId="34" fillId="5" borderId="2" xfId="0" applyNumberFormat="1" applyFont="1" applyFill="1" applyBorder="1" applyAlignment="1">
      <alignment horizontal="left" vertical="center" wrapText="1"/>
    </xf>
    <xf numFmtId="0" fontId="36" fillId="5" borderId="20" xfId="0" applyFont="1" applyFill="1" applyBorder="1" applyAlignment="1">
      <alignment horizontal="left" vertical="center" wrapText="1"/>
    </xf>
    <xf numFmtId="0" fontId="36" fillId="5" borderId="0" xfId="0" applyFont="1" applyFill="1" applyAlignment="1">
      <alignment horizontal="left" vertical="center" wrapText="1"/>
    </xf>
    <xf numFmtId="168" fontId="36" fillId="5" borderId="0" xfId="0" applyNumberFormat="1" applyFont="1" applyFill="1" applyAlignment="1">
      <alignment horizontal="left" vertical="center" wrapText="1"/>
    </xf>
    <xf numFmtId="0" fontId="15" fillId="5" borderId="0" xfId="0" applyFont="1" applyFill="1"/>
    <xf numFmtId="2" fontId="36" fillId="5" borderId="0" xfId="0" applyNumberFormat="1" applyFont="1" applyFill="1" applyAlignment="1">
      <alignment horizontal="left" vertical="center" wrapText="1"/>
    </xf>
    <xf numFmtId="0" fontId="15" fillId="5" borderId="21" xfId="0" applyFont="1" applyFill="1" applyBorder="1"/>
    <xf numFmtId="168" fontId="15" fillId="5" borderId="0" xfId="0" applyNumberFormat="1" applyFont="1" applyFill="1" applyAlignment="1">
      <alignment vertical="center" wrapText="1"/>
    </xf>
    <xf numFmtId="0" fontId="155" fillId="5" borderId="0" xfId="32" applyFont="1" applyFill="1" applyBorder="1" applyAlignment="1" applyProtection="1">
      <alignment vertical="center" wrapText="1"/>
    </xf>
    <xf numFmtId="168" fontId="15" fillId="5" borderId="0" xfId="0" applyNumberFormat="1" applyFont="1" applyFill="1"/>
    <xf numFmtId="0" fontId="23" fillId="0" borderId="16" xfId="16" applyFont="1" applyBorder="1" applyAlignment="1">
      <alignment vertical="center"/>
    </xf>
    <xf numFmtId="1" fontId="34" fillId="0" borderId="7" xfId="16" applyNumberFormat="1" applyFont="1" applyBorder="1" applyAlignment="1">
      <alignment horizontal="center" vertical="center"/>
    </xf>
    <xf numFmtId="1" fontId="71" fillId="0" borderId="7" xfId="16" applyNumberFormat="1" applyFont="1" applyBorder="1" applyAlignment="1">
      <alignment horizontal="center" vertical="center"/>
    </xf>
    <xf numFmtId="0" fontId="58" fillId="0" borderId="16" xfId="16" applyFont="1" applyBorder="1" applyAlignment="1">
      <alignment horizontal="left" vertical="center"/>
    </xf>
    <xf numFmtId="0" fontId="23" fillId="0" borderId="16" xfId="16" applyFont="1" applyBorder="1" applyAlignment="1">
      <alignment horizontal="left" vertical="center" wrapText="1"/>
    </xf>
    <xf numFmtId="1" fontId="34" fillId="0" borderId="2" xfId="16" applyNumberFormat="1" applyFont="1" applyBorder="1" applyAlignment="1">
      <alignment horizontal="center" vertical="center"/>
    </xf>
    <xf numFmtId="1" fontId="71" fillId="0" borderId="2" xfId="16" applyNumberFormat="1" applyFont="1" applyBorder="1" applyAlignment="1">
      <alignment horizontal="center" vertical="center"/>
    </xf>
    <xf numFmtId="0" fontId="23" fillId="5" borderId="2" xfId="3" applyFont="1" applyFill="1" applyBorder="1" applyAlignment="1">
      <alignment horizontal="center" vertical="center" wrapText="1"/>
    </xf>
    <xf numFmtId="1" fontId="71" fillId="5" borderId="2" xfId="0" applyNumberFormat="1" applyFont="1" applyFill="1" applyBorder="1" applyAlignment="1">
      <alignment horizontal="center" vertical="center"/>
    </xf>
    <xf numFmtId="1" fontId="34" fillId="5" borderId="2" xfId="16" applyNumberFormat="1" applyFont="1" applyFill="1" applyBorder="1" applyAlignment="1">
      <alignment horizontal="center" vertical="center"/>
    </xf>
    <xf numFmtId="1" fontId="71" fillId="5" borderId="2" xfId="16" applyNumberFormat="1" applyFont="1" applyFill="1" applyBorder="1" applyAlignment="1">
      <alignment horizontal="center" vertical="center"/>
    </xf>
    <xf numFmtId="0" fontId="44" fillId="16" borderId="2" xfId="3" applyFont="1" applyFill="1" applyBorder="1" applyAlignment="1">
      <alignment horizontal="center" vertical="center" wrapText="1"/>
    </xf>
    <xf numFmtId="1" fontId="10" fillId="17" borderId="2" xfId="0" applyNumberFormat="1" applyFont="1" applyFill="1" applyBorder="1" applyAlignment="1">
      <alignment horizontal="center" vertical="center"/>
    </xf>
    <xf numFmtId="1" fontId="12" fillId="17" borderId="2" xfId="0" applyNumberFormat="1" applyFont="1" applyFill="1" applyBorder="1" applyAlignment="1">
      <alignment horizontal="center" vertical="center"/>
    </xf>
    <xf numFmtId="0" fontId="7" fillId="16" borderId="0" xfId="0" applyFont="1" applyFill="1"/>
    <xf numFmtId="0" fontId="1" fillId="0" borderId="0" xfId="55" applyAlignment="1">
      <alignment vertical="center"/>
    </xf>
    <xf numFmtId="0" fontId="39" fillId="0" borderId="33" xfId="0" applyFont="1" applyBorder="1" applyAlignment="1">
      <alignment horizontal="center" vertical="center" wrapText="1"/>
    </xf>
    <xf numFmtId="2" fontId="15" fillId="0" borderId="0" xfId="0" applyNumberFormat="1" applyFont="1" applyAlignment="1">
      <alignment horizontal="right" vertical="center" wrapText="1"/>
    </xf>
    <xf numFmtId="1" fontId="15" fillId="0" borderId="0" xfId="0" applyNumberFormat="1" applyFont="1" applyAlignment="1">
      <alignment horizontal="right" vertical="center" wrapText="1"/>
    </xf>
    <xf numFmtId="0" fontId="15" fillId="0" borderId="2" xfId="0" applyFont="1" applyBorder="1" applyAlignment="1">
      <alignment horizontal="right" vertical="center" wrapText="1"/>
    </xf>
    <xf numFmtId="0" fontId="13" fillId="5" borderId="5" xfId="0" applyFont="1" applyFill="1" applyBorder="1" applyAlignment="1">
      <alignment horizontal="center" vertical="center" wrapText="1"/>
    </xf>
    <xf numFmtId="0" fontId="7" fillId="5" borderId="2" xfId="0" applyFont="1" applyFill="1" applyBorder="1" applyAlignment="1">
      <alignment horizontal="center" vertical="top" wrapText="1"/>
    </xf>
    <xf numFmtId="0" fontId="13" fillId="5" borderId="5" xfId="0" applyFont="1" applyFill="1" applyBorder="1" applyAlignment="1">
      <alignment horizontal="center" vertical="top" wrapText="1"/>
    </xf>
    <xf numFmtId="1" fontId="13" fillId="5" borderId="5" xfId="0" applyNumberFormat="1" applyFont="1" applyFill="1" applyBorder="1" applyAlignment="1">
      <alignment horizontal="center" vertical="top" wrapText="1"/>
    </xf>
    <xf numFmtId="0" fontId="7" fillId="5" borderId="2" xfId="0" applyFont="1" applyFill="1" applyBorder="1" applyAlignment="1">
      <alignment horizontal="center" vertical="center"/>
    </xf>
    <xf numFmtId="0" fontId="7" fillId="5" borderId="9" xfId="0" applyFont="1" applyFill="1" applyBorder="1" applyAlignment="1">
      <alignment horizontal="center" vertical="center"/>
    </xf>
    <xf numFmtId="1" fontId="7" fillId="5" borderId="2" xfId="0" applyNumberFormat="1" applyFont="1" applyFill="1" applyBorder="1" applyAlignment="1">
      <alignment horizontal="center" vertical="center"/>
    </xf>
    <xf numFmtId="1" fontId="7" fillId="5" borderId="2" xfId="0" applyNumberFormat="1" applyFont="1" applyFill="1" applyBorder="1" applyAlignment="1">
      <alignment horizontal="center" vertical="center" wrapText="1"/>
    </xf>
    <xf numFmtId="0" fontId="7" fillId="5" borderId="2" xfId="0" applyFont="1" applyFill="1" applyBorder="1" applyAlignment="1">
      <alignment horizontal="center" vertical="center" wrapText="1"/>
    </xf>
    <xf numFmtId="0" fontId="13" fillId="5" borderId="2" xfId="0" applyFont="1" applyFill="1" applyBorder="1" applyAlignment="1">
      <alignment horizontal="center" vertical="center"/>
    </xf>
    <xf numFmtId="0" fontId="47" fillId="5" borderId="0" xfId="4" applyFont="1" applyFill="1" applyAlignment="1">
      <alignment horizontal="center" vertical="center" wrapText="1"/>
    </xf>
    <xf numFmtId="0" fontId="7" fillId="5" borderId="0" xfId="0" applyFont="1" applyFill="1"/>
    <xf numFmtId="0" fontId="12" fillId="5" borderId="0" xfId="0" applyFont="1" applyFill="1" applyAlignment="1">
      <alignment vertical="center"/>
    </xf>
    <xf numFmtId="169" fontId="10" fillId="0" borderId="0" xfId="4" applyNumberFormat="1" applyFont="1" applyAlignment="1">
      <alignment horizontal="center" vertical="center" wrapText="1"/>
    </xf>
    <xf numFmtId="41" fontId="13" fillId="0" borderId="2" xfId="39" applyFont="1" applyBorder="1" applyAlignment="1">
      <alignment horizontal="center" vertical="center"/>
    </xf>
    <xf numFmtId="0" fontId="13" fillId="0" borderId="2" xfId="39" applyNumberFormat="1" applyFont="1" applyBorder="1" applyAlignment="1">
      <alignment horizontal="center" vertical="center"/>
    </xf>
    <xf numFmtId="0" fontId="7" fillId="0" borderId="2" xfId="20" applyFont="1" applyBorder="1" applyAlignment="1">
      <alignment vertical="center" wrapText="1"/>
    </xf>
    <xf numFmtId="168" fontId="7" fillId="0" borderId="2" xfId="0" applyNumberFormat="1" applyFont="1" applyBorder="1" applyAlignment="1">
      <alignment horizontal="center" vertical="center"/>
    </xf>
    <xf numFmtId="2" fontId="7" fillId="0" borderId="2" xfId="0" applyNumberFormat="1" applyFont="1" applyBorder="1" applyAlignment="1">
      <alignment horizontal="center" vertical="center"/>
    </xf>
    <xf numFmtId="185" fontId="7" fillId="0" borderId="2" xfId="0" applyNumberFormat="1" applyFont="1" applyBorder="1" applyAlignment="1">
      <alignment horizontal="center" vertical="center"/>
    </xf>
    <xf numFmtId="168" fontId="13" fillId="0" borderId="2" xfId="0" applyNumberFormat="1" applyFont="1" applyBorder="1" applyAlignment="1">
      <alignment horizontal="right" vertical="center" wrapText="1" indent="1"/>
    </xf>
    <xf numFmtId="185" fontId="13" fillId="0" borderId="2" xfId="0" applyNumberFormat="1" applyFont="1" applyBorder="1" applyAlignment="1">
      <alignment horizontal="center" vertical="center" wrapText="1"/>
    </xf>
    <xf numFmtId="0" fontId="71" fillId="0" borderId="2" xfId="20" applyFont="1" applyBorder="1" applyAlignment="1">
      <alignment vertical="center" wrapText="1"/>
    </xf>
    <xf numFmtId="0" fontId="13" fillId="0" borderId="16" xfId="0" applyFont="1" applyBorder="1" applyAlignment="1">
      <alignment horizontal="center" vertical="center"/>
    </xf>
    <xf numFmtId="0" fontId="13" fillId="0" borderId="2" xfId="0" applyFont="1" applyBorder="1" applyAlignment="1">
      <alignment horizontal="center" vertical="center" shrinkToFit="1"/>
    </xf>
    <xf numFmtId="0" fontId="13" fillId="0" borderId="33" xfId="0" applyFont="1" applyBorder="1" applyAlignment="1">
      <alignment horizontal="center" vertical="center" shrinkToFit="1"/>
    </xf>
    <xf numFmtId="0" fontId="13" fillId="0" borderId="16" xfId="0" applyFont="1" applyBorder="1" applyAlignment="1">
      <alignment horizontal="center" vertical="center" shrinkToFit="1"/>
    </xf>
    <xf numFmtId="0" fontId="7" fillId="0" borderId="2" xfId="0" applyFont="1" applyBorder="1" applyAlignment="1">
      <alignment horizontal="center"/>
    </xf>
    <xf numFmtId="0" fontId="7" fillId="0" borderId="2" xfId="0" applyFont="1" applyBorder="1" applyAlignment="1">
      <alignment horizontal="center" vertical="center"/>
    </xf>
    <xf numFmtId="0" fontId="7" fillId="0" borderId="33" xfId="0" applyFont="1" applyBorder="1" applyAlignment="1">
      <alignment horizontal="center" vertical="center"/>
    </xf>
    <xf numFmtId="0" fontId="7" fillId="0" borderId="16" xfId="0" applyFont="1" applyBorder="1" applyAlignment="1">
      <alignment horizontal="center"/>
    </xf>
    <xf numFmtId="0" fontId="7" fillId="0" borderId="2" xfId="20" applyFont="1" applyBorder="1" applyAlignment="1">
      <alignment horizontal="left" vertical="center"/>
    </xf>
    <xf numFmtId="0" fontId="7" fillId="0" borderId="2" xfId="20" applyFont="1" applyBorder="1" applyAlignment="1">
      <alignment horizontal="center" vertical="center"/>
    </xf>
    <xf numFmtId="0" fontId="15" fillId="0" borderId="2" xfId="0" applyFont="1" applyBorder="1" applyAlignment="1">
      <alignment horizontal="center"/>
    </xf>
    <xf numFmtId="0" fontId="7" fillId="0" borderId="2" xfId="0" applyFont="1" applyBorder="1" applyAlignment="1">
      <alignment horizontal="left" vertical="center"/>
    </xf>
    <xf numFmtId="0" fontId="13" fillId="0" borderId="33" xfId="0" applyFont="1" applyBorder="1" applyAlignment="1">
      <alignment horizontal="center" vertical="center"/>
    </xf>
    <xf numFmtId="0" fontId="7" fillId="0" borderId="16" xfId="0" applyFont="1" applyBorder="1" applyAlignment="1">
      <alignment horizontal="center" vertical="center"/>
    </xf>
    <xf numFmtId="0" fontId="13" fillId="0" borderId="44" xfId="0" applyFont="1" applyBorder="1" applyAlignment="1">
      <alignment horizontal="center" vertical="center"/>
    </xf>
    <xf numFmtId="0" fontId="13" fillId="0" borderId="50" xfId="0" applyFont="1" applyBorder="1" applyAlignment="1">
      <alignment horizontal="center" vertical="center"/>
    </xf>
    <xf numFmtId="0" fontId="13" fillId="0" borderId="49" xfId="0" applyFont="1" applyBorder="1" applyAlignment="1">
      <alignment horizontal="center" vertical="center"/>
    </xf>
    <xf numFmtId="168" fontId="7" fillId="0" borderId="44" xfId="0" applyNumberFormat="1" applyFont="1" applyBorder="1" applyAlignment="1">
      <alignment horizontal="center"/>
    </xf>
    <xf numFmtId="0" fontId="7" fillId="0" borderId="44" xfId="0" applyFont="1" applyBorder="1"/>
    <xf numFmtId="11" fontId="13" fillId="0" borderId="2" xfId="39" applyNumberFormat="1" applyFont="1" applyBorder="1" applyAlignment="1">
      <alignment horizontal="center" vertical="center"/>
    </xf>
    <xf numFmtId="11" fontId="13" fillId="0" borderId="33" xfId="39" applyNumberFormat="1" applyFont="1" applyBorder="1" applyAlignment="1">
      <alignment horizontal="center" vertical="center"/>
    </xf>
    <xf numFmtId="0" fontId="15" fillId="0" borderId="16" xfId="0" applyFont="1" applyBorder="1" applyAlignment="1">
      <alignment horizontal="left" vertical="center" wrapText="1"/>
    </xf>
    <xf numFmtId="3" fontId="15" fillId="0" borderId="2" xfId="0" applyNumberFormat="1" applyFont="1" applyBorder="1" applyAlignment="1">
      <alignment horizontal="center" vertical="center" wrapText="1"/>
    </xf>
    <xf numFmtId="3" fontId="36" fillId="0" borderId="33" xfId="0" applyNumberFormat="1" applyFont="1" applyBorder="1" applyAlignment="1">
      <alignment horizontal="center" vertical="center" wrapText="1"/>
    </xf>
    <xf numFmtId="41" fontId="13" fillId="0" borderId="67" xfId="39" applyFont="1" applyBorder="1" applyAlignment="1">
      <alignment horizontal="center" vertical="center" textRotation="90"/>
    </xf>
    <xf numFmtId="1" fontId="13" fillId="0" borderId="5" xfId="0" applyNumberFormat="1" applyFont="1" applyBorder="1" applyAlignment="1">
      <alignment horizontal="center" vertical="center"/>
    </xf>
    <xf numFmtId="0" fontId="44" fillId="0" borderId="33" xfId="0" applyFont="1" applyBorder="1" applyAlignment="1">
      <alignment horizontal="center" vertical="center" wrapText="1"/>
    </xf>
    <xf numFmtId="41" fontId="36" fillId="0" borderId="2" xfId="39" applyFont="1" applyBorder="1" applyAlignment="1">
      <alignment horizontal="center" vertical="center" wrapText="1"/>
    </xf>
    <xf numFmtId="41" fontId="36" fillId="0" borderId="33" xfId="39" applyFont="1" applyBorder="1" applyAlignment="1">
      <alignment horizontal="center" vertical="center" wrapText="1"/>
    </xf>
    <xf numFmtId="0" fontId="38" fillId="0" borderId="20" xfId="0" applyFont="1" applyBorder="1" applyAlignment="1">
      <alignment horizontal="left" vertical="center"/>
    </xf>
    <xf numFmtId="0" fontId="38" fillId="0" borderId="20" xfId="0" applyFont="1" applyBorder="1" applyAlignment="1">
      <alignment vertical="center"/>
    </xf>
    <xf numFmtId="0" fontId="39" fillId="0" borderId="20" xfId="0" applyFont="1" applyBorder="1" applyAlignment="1">
      <alignment vertical="center" wrapText="1"/>
    </xf>
    <xf numFmtId="0" fontId="38" fillId="0" borderId="22" xfId="0" applyFont="1" applyBorder="1" applyAlignment="1">
      <alignment vertical="center"/>
    </xf>
    <xf numFmtId="1" fontId="38" fillId="0" borderId="0" xfId="0" applyNumberFormat="1" applyFont="1" applyAlignment="1">
      <alignment horizontal="center" vertical="center" wrapText="1"/>
    </xf>
    <xf numFmtId="0" fontId="38" fillId="0" borderId="0" xfId="0" applyFont="1" applyAlignment="1">
      <alignment horizontal="center" vertical="center" wrapText="1"/>
    </xf>
    <xf numFmtId="0" fontId="38" fillId="0" borderId="0" xfId="0" applyFont="1" applyAlignment="1">
      <alignment horizontal="center" vertical="center"/>
    </xf>
    <xf numFmtId="168" fontId="38" fillId="0" borderId="0" xfId="0" applyNumberFormat="1" applyFont="1" applyAlignment="1">
      <alignment horizontal="center" vertical="center"/>
    </xf>
    <xf numFmtId="0" fontId="38" fillId="0" borderId="23" xfId="0" applyFont="1" applyBorder="1" applyAlignment="1">
      <alignment horizontal="center" vertical="center" wrapText="1"/>
    </xf>
    <xf numFmtId="0" fontId="77" fillId="0" borderId="0" xfId="0" applyFont="1" applyAlignment="1">
      <alignment vertical="top"/>
    </xf>
    <xf numFmtId="0" fontId="77" fillId="0" borderId="0" xfId="0" applyFont="1" applyAlignment="1">
      <alignment horizontal="center" vertical="top"/>
    </xf>
    <xf numFmtId="0" fontId="77" fillId="0" borderId="21" xfId="0" applyFont="1" applyBorder="1" applyAlignment="1">
      <alignment horizontal="center" vertical="top"/>
    </xf>
    <xf numFmtId="0" fontId="38" fillId="0" borderId="1" xfId="0" applyFont="1" applyBorder="1" applyAlignment="1">
      <alignment vertical="center"/>
    </xf>
    <xf numFmtId="169" fontId="75" fillId="0" borderId="0" xfId="1" applyNumberFormat="1" applyFont="1" applyAlignment="1">
      <alignment horizontal="center"/>
    </xf>
    <xf numFmtId="169" fontId="0" fillId="0" borderId="0" xfId="1" applyNumberFormat="1" applyFont="1"/>
    <xf numFmtId="168" fontId="34" fillId="5" borderId="2" xfId="0" applyNumberFormat="1" applyFont="1" applyFill="1" applyBorder="1" applyAlignment="1">
      <alignment horizontal="center" vertical="center"/>
    </xf>
    <xf numFmtId="0" fontId="36" fillId="0" borderId="5" xfId="0" applyFont="1" applyBorder="1" applyAlignment="1">
      <alignment horizontal="center" vertical="center" wrapText="1"/>
    </xf>
    <xf numFmtId="0" fontId="15" fillId="0" borderId="5" xfId="0" applyFont="1" applyBorder="1" applyAlignment="1">
      <alignment horizontal="center" vertical="center" wrapText="1"/>
    </xf>
    <xf numFmtId="0" fontId="36" fillId="0" borderId="0" xfId="0" applyFont="1" applyAlignment="1">
      <alignment horizontal="center" wrapText="1"/>
    </xf>
    <xf numFmtId="0" fontId="125" fillId="5" borderId="16" xfId="0" applyFont="1" applyFill="1" applyBorder="1" applyAlignment="1">
      <alignment vertical="center"/>
    </xf>
    <xf numFmtId="0" fontId="126" fillId="5" borderId="16" xfId="0" applyFont="1" applyFill="1" applyBorder="1" applyAlignment="1">
      <alignment horizontal="left" vertical="center"/>
    </xf>
    <xf numFmtId="168" fontId="126" fillId="5" borderId="2" xfId="0" applyNumberFormat="1" applyFont="1" applyFill="1" applyBorder="1" applyAlignment="1">
      <alignment horizontal="center" vertical="center"/>
    </xf>
    <xf numFmtId="168" fontId="131" fillId="5" borderId="2" xfId="0" applyNumberFormat="1" applyFont="1" applyFill="1" applyBorder="1" applyAlignment="1">
      <alignment horizontal="center" vertical="center"/>
    </xf>
    <xf numFmtId="0" fontId="126" fillId="5" borderId="16" xfId="0" applyFont="1" applyFill="1" applyBorder="1" applyAlignment="1">
      <alignment horizontal="left" vertical="center" indent="7"/>
    </xf>
    <xf numFmtId="0" fontId="125" fillId="5" borderId="16" xfId="0" applyFont="1" applyFill="1" applyBorder="1" applyAlignment="1">
      <alignment vertical="center" wrapText="1"/>
    </xf>
    <xf numFmtId="0" fontId="124" fillId="5" borderId="20" xfId="0" applyFont="1" applyFill="1" applyBorder="1" applyAlignment="1">
      <alignment horizontal="left" vertical="center" wrapText="1"/>
    </xf>
    <xf numFmtId="0" fontId="126" fillId="5" borderId="0" xfId="0" applyFont="1" applyFill="1" applyAlignment="1">
      <alignment horizontal="center" vertical="center"/>
    </xf>
    <xf numFmtId="0" fontId="131" fillId="5" borderId="0" xfId="0" applyFont="1" applyFill="1"/>
    <xf numFmtId="0" fontId="131" fillId="5" borderId="20" xfId="0" applyFont="1" applyFill="1" applyBorder="1"/>
    <xf numFmtId="0" fontId="131" fillId="5" borderId="0" xfId="0" applyFont="1" applyFill="1" applyAlignment="1">
      <alignment horizontal="center"/>
    </xf>
    <xf numFmtId="193" fontId="123" fillId="5" borderId="16" xfId="27" applyNumberFormat="1" applyFont="1" applyFill="1" applyBorder="1" applyAlignment="1">
      <alignment horizontal="left" vertical="center"/>
    </xf>
    <xf numFmtId="168" fontId="126" fillId="5" borderId="16" xfId="28" applyNumberFormat="1" applyFont="1" applyFill="1" applyBorder="1" applyAlignment="1">
      <alignment horizontal="left" vertical="center" indent="2"/>
    </xf>
    <xf numFmtId="0" fontId="136" fillId="5" borderId="2" xfId="0" applyFont="1" applyFill="1" applyBorder="1" applyAlignment="1">
      <alignment horizontal="center" textRotation="90" wrapText="1"/>
    </xf>
    <xf numFmtId="168" fontId="126" fillId="5" borderId="2" xfId="0" applyNumberFormat="1" applyFont="1" applyFill="1" applyBorder="1" applyAlignment="1">
      <alignment horizontal="center" vertical="center" wrapText="1"/>
    </xf>
    <xf numFmtId="168" fontId="131" fillId="5" borderId="2" xfId="0" applyNumberFormat="1" applyFont="1" applyFill="1" applyBorder="1" applyAlignment="1">
      <alignment horizontal="center" vertical="center" wrapText="1"/>
    </xf>
    <xf numFmtId="168" fontId="125" fillId="5" borderId="16" xfId="28" applyNumberFormat="1" applyFont="1" applyFill="1" applyBorder="1" applyAlignment="1">
      <alignment horizontal="left" vertical="center" indent="2"/>
    </xf>
    <xf numFmtId="168" fontId="125" fillId="5" borderId="2" xfId="28" applyNumberFormat="1" applyFont="1" applyFill="1" applyBorder="1" applyAlignment="1">
      <alignment horizontal="center" vertical="center"/>
    </xf>
    <xf numFmtId="168" fontId="123" fillId="5" borderId="2" xfId="28" applyNumberFormat="1" applyFont="1" applyFill="1" applyBorder="1" applyAlignment="1">
      <alignment horizontal="center" vertical="center"/>
    </xf>
    <xf numFmtId="0" fontId="10" fillId="5" borderId="0" xfId="0" applyFont="1" applyFill="1"/>
    <xf numFmtId="166" fontId="9" fillId="0" borderId="0" xfId="3" applyNumberFormat="1" applyFont="1" applyAlignment="1">
      <alignment horizontal="left" vertical="center" wrapText="1"/>
    </xf>
    <xf numFmtId="0" fontId="38" fillId="0" borderId="5" xfId="0" applyFont="1" applyBorder="1" applyAlignment="1">
      <alignment horizontal="center" vertical="center"/>
    </xf>
    <xf numFmtId="0" fontId="7" fillId="0" borderId="5" xfId="0" applyFont="1" applyBorder="1"/>
    <xf numFmtId="0" fontId="7" fillId="0" borderId="5" xfId="0" applyFont="1" applyBorder="1" applyAlignment="1">
      <alignment horizontal="center"/>
    </xf>
    <xf numFmtId="0" fontId="7" fillId="0" borderId="56" xfId="0" applyFont="1" applyBorder="1"/>
    <xf numFmtId="168" fontId="7" fillId="2" borderId="2" xfId="0" applyNumberFormat="1" applyFont="1" applyFill="1" applyBorder="1" applyAlignment="1">
      <alignment horizontal="center" vertical="center" wrapText="1"/>
    </xf>
    <xf numFmtId="168" fontId="7" fillId="3" borderId="2" xfId="0" applyNumberFormat="1" applyFont="1" applyFill="1" applyBorder="1" applyAlignment="1">
      <alignment horizontal="center" vertical="center" wrapText="1"/>
    </xf>
    <xf numFmtId="0" fontId="38" fillId="3" borderId="0" xfId="0" applyFont="1" applyFill="1" applyAlignment="1">
      <alignment horizontal="center" vertical="center" wrapText="1"/>
    </xf>
    <xf numFmtId="0" fontId="38" fillId="2" borderId="0" xfId="0" applyFont="1" applyFill="1" applyAlignment="1">
      <alignment horizontal="center" vertical="center"/>
    </xf>
    <xf numFmtId="0" fontId="15" fillId="0" borderId="16" xfId="0" applyFont="1" applyBorder="1" applyAlignment="1">
      <alignment horizontal="left" vertical="center"/>
    </xf>
    <xf numFmtId="169" fontId="13" fillId="0" borderId="0" xfId="1" applyNumberFormat="1" applyFont="1" applyAlignment="1">
      <alignment horizontal="center" vertical="center"/>
    </xf>
    <xf numFmtId="0" fontId="38" fillId="0" borderId="20" xfId="0" applyFont="1" applyBorder="1" applyAlignment="1">
      <alignment vertical="top"/>
    </xf>
    <xf numFmtId="169" fontId="44" fillId="0" borderId="0" xfId="1" applyNumberFormat="1" applyFont="1" applyAlignment="1">
      <alignment horizontal="center" vertical="center"/>
    </xf>
    <xf numFmtId="0" fontId="0" fillId="0" borderId="47" xfId="0" applyBorder="1"/>
    <xf numFmtId="0" fontId="7" fillId="0" borderId="13" xfId="0" applyFont="1" applyBorder="1" applyAlignment="1">
      <alignment wrapText="1"/>
    </xf>
    <xf numFmtId="0" fontId="7" fillId="0" borderId="15" xfId="0" applyFont="1" applyBorder="1" applyAlignment="1">
      <alignment wrapText="1"/>
    </xf>
    <xf numFmtId="0" fontId="7" fillId="0" borderId="14" xfId="0" applyFont="1" applyBorder="1" applyAlignment="1">
      <alignment wrapText="1"/>
    </xf>
    <xf numFmtId="3" fontId="71" fillId="5" borderId="2" xfId="0" applyNumberFormat="1" applyFont="1" applyFill="1" applyBorder="1" applyAlignment="1">
      <alignment horizontal="center" vertical="center" wrapText="1"/>
    </xf>
    <xf numFmtId="177" fontId="71" fillId="5" borderId="2" xfId="0" applyNumberFormat="1" applyFont="1" applyFill="1" applyBorder="1" applyAlignment="1">
      <alignment horizontal="center" vertical="center" wrapText="1"/>
    </xf>
    <xf numFmtId="0" fontId="160" fillId="0" borderId="0" xfId="0" applyFont="1"/>
    <xf numFmtId="0" fontId="160" fillId="0" borderId="0" xfId="0" applyFont="1" applyAlignment="1">
      <alignment horizontal="center"/>
    </xf>
    <xf numFmtId="0" fontId="161" fillId="0" borderId="2" xfId="0" applyFont="1" applyBorder="1" applyAlignment="1">
      <alignment horizontal="center" vertical="top"/>
    </xf>
    <xf numFmtId="0" fontId="162" fillId="0" borderId="2" xfId="0" applyFont="1" applyBorder="1" applyAlignment="1">
      <alignment horizontal="left" vertical="center" wrapText="1"/>
    </xf>
    <xf numFmtId="1" fontId="163" fillId="0" borderId="2" xfId="0" applyNumberFormat="1" applyFont="1" applyBorder="1" applyAlignment="1">
      <alignment horizontal="center" vertical="top"/>
    </xf>
    <xf numFmtId="1" fontId="163" fillId="0" borderId="0" xfId="0" applyNumberFormat="1" applyFont="1" applyAlignment="1">
      <alignment horizontal="center"/>
    </xf>
    <xf numFmtId="166" fontId="10" fillId="0" borderId="0" xfId="3" applyNumberFormat="1" applyFont="1" applyAlignment="1">
      <alignment horizontal="left" vertical="center" wrapText="1"/>
    </xf>
    <xf numFmtId="0" fontId="113" fillId="10" borderId="2" xfId="59" applyFont="1" applyFill="1" applyBorder="1" applyAlignment="1">
      <alignment horizontal="center" vertical="center"/>
    </xf>
    <xf numFmtId="0" fontId="113" fillId="10" borderId="2" xfId="59" applyFont="1" applyFill="1" applyBorder="1" applyAlignment="1">
      <alignment vertical="center"/>
    </xf>
    <xf numFmtId="0" fontId="63" fillId="0" borderId="2" xfId="59" applyFont="1" applyBorder="1" applyAlignment="1">
      <alignment vertical="center"/>
    </xf>
    <xf numFmtId="0" fontId="113" fillId="0" borderId="2" xfId="59" applyFont="1" applyBorder="1" applyAlignment="1">
      <alignment vertical="center"/>
    </xf>
    <xf numFmtId="182" fontId="84" fillId="0" borderId="2" xfId="59" applyNumberFormat="1" applyFont="1" applyBorder="1" applyAlignment="1">
      <alignment horizontal="center" vertical="center"/>
    </xf>
    <xf numFmtId="182" fontId="84" fillId="0" borderId="39" xfId="59" applyNumberFormat="1" applyFont="1" applyBorder="1" applyAlignment="1">
      <alignment horizontal="right" vertical="center"/>
    </xf>
    <xf numFmtId="182" fontId="84" fillId="2" borderId="2" xfId="59" applyNumberFormat="1" applyFont="1" applyFill="1" applyBorder="1" applyAlignment="1">
      <alignment horizontal="center" vertical="center"/>
    </xf>
    <xf numFmtId="0" fontId="83" fillId="0" borderId="2" xfId="59" applyFont="1" applyBorder="1" applyAlignment="1">
      <alignment horizontal="center" vertical="center"/>
    </xf>
    <xf numFmtId="205" fontId="84" fillId="0" borderId="2" xfId="59" applyNumberFormat="1" applyFont="1" applyBorder="1" applyAlignment="1">
      <alignment horizontal="center" vertical="center"/>
    </xf>
    <xf numFmtId="0" fontId="63" fillId="0" borderId="0" xfId="59" applyFont="1" applyAlignment="1">
      <alignment horizontal="left" vertical="center" wrapText="1"/>
    </xf>
    <xf numFmtId="0" fontId="63" fillId="0" borderId="0" xfId="59" applyFont="1" applyAlignment="1">
      <alignment horizontal="left" vertical="center"/>
    </xf>
    <xf numFmtId="0" fontId="58" fillId="0" borderId="20" xfId="0" quotePrefix="1" applyFont="1" applyBorder="1" applyAlignment="1">
      <alignment horizontal="left" vertical="top" wrapText="1"/>
    </xf>
    <xf numFmtId="0" fontId="13" fillId="5" borderId="2" xfId="0" applyFont="1" applyFill="1" applyBorder="1" applyAlignment="1">
      <alignment horizontal="center" vertical="center" wrapText="1"/>
    </xf>
    <xf numFmtId="0" fontId="23" fillId="0" borderId="16" xfId="0" applyFont="1" applyBorder="1" applyAlignment="1">
      <alignment horizontal="center" vertical="center" wrapText="1"/>
    </xf>
    <xf numFmtId="0" fontId="44" fillId="0" borderId="33" xfId="55" applyFont="1" applyBorder="1" applyAlignment="1">
      <alignment horizontal="center" vertical="center" wrapText="1"/>
    </xf>
    <xf numFmtId="0" fontId="56" fillId="0" borderId="45" xfId="0" applyFont="1" applyBorder="1" applyAlignment="1">
      <alignment horizontal="center" vertical="center"/>
    </xf>
    <xf numFmtId="0" fontId="23" fillId="0" borderId="16" xfId="0" applyFont="1" applyBorder="1" applyAlignment="1">
      <alignment horizontal="left" vertical="center" wrapText="1"/>
    </xf>
    <xf numFmtId="0" fontId="58" fillId="0" borderId="0" xfId="0" quotePrefix="1" applyFont="1" applyAlignment="1">
      <alignment horizontal="left" vertical="top" wrapText="1"/>
    </xf>
    <xf numFmtId="0" fontId="23" fillId="0" borderId="32" xfId="0" quotePrefix="1" applyFont="1" applyBorder="1" applyAlignment="1">
      <alignment horizontal="left" vertical="center" wrapText="1"/>
    </xf>
    <xf numFmtId="168" fontId="34" fillId="0" borderId="3" xfId="0" applyNumberFormat="1" applyFont="1" applyBorder="1" applyAlignment="1">
      <alignment horizontal="right" vertical="center" indent="1"/>
    </xf>
    <xf numFmtId="168" fontId="34" fillId="0" borderId="3" xfId="0" applyNumberFormat="1" applyFont="1" applyBorder="1" applyAlignment="1">
      <alignment horizontal="center" vertical="center"/>
    </xf>
    <xf numFmtId="168" fontId="34" fillId="0" borderId="10" xfId="0" applyNumberFormat="1" applyFont="1" applyBorder="1" applyAlignment="1">
      <alignment horizontal="center" vertical="center"/>
    </xf>
    <xf numFmtId="1" fontId="71" fillId="0" borderId="33" xfId="0" applyNumberFormat="1" applyFont="1" applyBorder="1" applyAlignment="1">
      <alignment horizontal="center"/>
    </xf>
    <xf numFmtId="0" fontId="71" fillId="0" borderId="33" xfId="0" applyFont="1" applyBorder="1"/>
    <xf numFmtId="2" fontId="71" fillId="0" borderId="33" xfId="0" applyNumberFormat="1" applyFont="1" applyBorder="1" applyAlignment="1">
      <alignment horizontal="center"/>
    </xf>
    <xf numFmtId="1" fontId="71" fillId="0" borderId="33" xfId="0" applyNumberFormat="1" applyFont="1" applyBorder="1" applyAlignment="1">
      <alignment horizontal="center" vertical="center"/>
    </xf>
    <xf numFmtId="1" fontId="34" fillId="0" borderId="33" xfId="0" applyNumberFormat="1" applyFont="1" applyBorder="1" applyAlignment="1">
      <alignment horizontal="center" vertical="center"/>
    </xf>
    <xf numFmtId="168" fontId="49" fillId="0" borderId="33" xfId="0" applyNumberFormat="1" applyFont="1" applyBorder="1" applyAlignment="1">
      <alignment horizontal="center" vertical="center"/>
    </xf>
    <xf numFmtId="0" fontId="35" fillId="0" borderId="33" xfId="0" applyFont="1" applyBorder="1"/>
    <xf numFmtId="168" fontId="34" fillId="0" borderId="34" xfId="0" applyNumberFormat="1" applyFont="1" applyBorder="1" applyAlignment="1">
      <alignment horizontal="center" vertical="center"/>
    </xf>
    <xf numFmtId="0" fontId="58" fillId="0" borderId="21" xfId="0" quotePrefix="1" applyFont="1" applyBorder="1" applyAlignment="1">
      <alignment horizontal="left" vertical="top" wrapText="1"/>
    </xf>
    <xf numFmtId="168" fontId="34" fillId="5" borderId="33" xfId="0" applyNumberFormat="1" applyFont="1" applyFill="1" applyBorder="1" applyAlignment="1">
      <alignment horizontal="center" vertical="center"/>
    </xf>
    <xf numFmtId="0" fontId="7" fillId="5" borderId="21" xfId="0" applyFont="1" applyFill="1" applyBorder="1" applyAlignment="1">
      <alignment vertical="center"/>
    </xf>
    <xf numFmtId="0" fontId="47" fillId="0" borderId="21" xfId="4" applyFont="1" applyBorder="1" applyAlignment="1">
      <alignment horizontal="center" vertical="center" wrapText="1"/>
    </xf>
    <xf numFmtId="0" fontId="13" fillId="0" borderId="20" xfId="0" applyFont="1" applyBorder="1"/>
    <xf numFmtId="0" fontId="7" fillId="0" borderId="20" xfId="0" applyFont="1" applyBorder="1" applyAlignment="1">
      <alignment horizontal="center" vertical="center"/>
    </xf>
    <xf numFmtId="0" fontId="7" fillId="0" borderId="20" xfId="0" applyFont="1" applyBorder="1" applyAlignment="1">
      <alignment horizontal="left"/>
    </xf>
    <xf numFmtId="0" fontId="7" fillId="0" borderId="21" xfId="0" applyFont="1" applyBorder="1" applyAlignment="1">
      <alignment horizontal="left"/>
    </xf>
    <xf numFmtId="0" fontId="13" fillId="5" borderId="20" xfId="0" applyFont="1" applyFill="1" applyBorder="1" applyAlignment="1">
      <alignment horizontal="center" vertical="center" wrapText="1"/>
    </xf>
    <xf numFmtId="168" fontId="15" fillId="0" borderId="33" xfId="0" applyNumberFormat="1" applyFont="1" applyBorder="1" applyAlignment="1">
      <alignment horizontal="center" vertical="center"/>
    </xf>
    <xf numFmtId="168" fontId="36" fillId="0" borderId="33" xfId="0" applyNumberFormat="1" applyFont="1" applyBorder="1" applyAlignment="1">
      <alignment horizontal="center" vertical="center"/>
    </xf>
    <xf numFmtId="41" fontId="13" fillId="0" borderId="7" xfId="39" applyFont="1" applyBorder="1" applyAlignment="1">
      <alignment horizontal="center" vertical="center"/>
    </xf>
    <xf numFmtId="0" fontId="12" fillId="5" borderId="2" xfId="20" applyFont="1" applyFill="1" applyBorder="1" applyAlignment="1">
      <alignment horizontal="left" vertical="center" wrapText="1"/>
    </xf>
    <xf numFmtId="1" fontId="12" fillId="5" borderId="2" xfId="20" applyNumberFormat="1" applyFont="1" applyFill="1" applyBorder="1" applyAlignment="1">
      <alignment horizontal="center" vertical="center"/>
    </xf>
    <xf numFmtId="168" fontId="12" fillId="5" borderId="2" xfId="20" applyNumberFormat="1" applyFont="1" applyFill="1" applyBorder="1" applyAlignment="1">
      <alignment horizontal="center" vertical="center"/>
    </xf>
    <xf numFmtId="0" fontId="154" fillId="5" borderId="2" xfId="81" applyFont="1" applyFill="1" applyBorder="1" applyAlignment="1">
      <alignment horizontal="left" vertical="center" wrapText="1"/>
    </xf>
    <xf numFmtId="2" fontId="12" fillId="5" borderId="2" xfId="20" applyNumberFormat="1" applyFont="1" applyFill="1" applyBorder="1" applyAlignment="1">
      <alignment horizontal="center" vertical="center"/>
    </xf>
    <xf numFmtId="0" fontId="7" fillId="5" borderId="2" xfId="81" applyFont="1" applyFill="1" applyBorder="1" applyAlignment="1">
      <alignment horizontal="left" vertical="center" wrapText="1"/>
    </xf>
    <xf numFmtId="0" fontId="7" fillId="5" borderId="2" xfId="81" applyFont="1" applyFill="1" applyBorder="1" applyAlignment="1">
      <alignment vertical="center" wrapText="1"/>
    </xf>
    <xf numFmtId="185" fontId="12" fillId="5" borderId="2" xfId="20" applyNumberFormat="1" applyFont="1" applyFill="1" applyBorder="1" applyAlignment="1">
      <alignment horizontal="center" vertical="center"/>
    </xf>
    <xf numFmtId="1" fontId="9" fillId="5" borderId="2" xfId="20" applyNumberFormat="1" applyFont="1" applyFill="1" applyBorder="1" applyAlignment="1">
      <alignment horizontal="center" vertical="center"/>
    </xf>
    <xf numFmtId="0" fontId="130" fillId="0" borderId="2" xfId="0" applyFont="1" applyBorder="1" applyAlignment="1" applyProtection="1">
      <alignment horizontal="left" vertical="center" wrapText="1"/>
      <protection locked="0"/>
    </xf>
    <xf numFmtId="0" fontId="130" fillId="0" borderId="2" xfId="0" applyFont="1" applyBorder="1" applyAlignment="1" applyProtection="1">
      <alignment horizontal="left" vertical="center"/>
      <protection locked="0"/>
    </xf>
    <xf numFmtId="0" fontId="36" fillId="0" borderId="3" xfId="0" applyFont="1" applyBorder="1" applyAlignment="1">
      <alignment horizontal="center"/>
    </xf>
    <xf numFmtId="0" fontId="166" fillId="0" borderId="2" xfId="0" applyFont="1" applyBorder="1" applyAlignment="1">
      <alignment horizontal="justify" vertical="center" wrapText="1" readingOrder="1"/>
    </xf>
    <xf numFmtId="0" fontId="167" fillId="0" borderId="0" xfId="0" applyFont="1" applyAlignment="1">
      <alignment horizontal="justify" vertical="center"/>
    </xf>
    <xf numFmtId="168" fontId="36" fillId="0" borderId="2" xfId="0" applyNumberFormat="1" applyFont="1" applyBorder="1" applyAlignment="1">
      <alignment vertical="center"/>
    </xf>
    <xf numFmtId="0" fontId="15" fillId="0" borderId="20" xfId="0" applyFont="1" applyBorder="1" applyAlignment="1">
      <alignment vertical="center"/>
    </xf>
    <xf numFmtId="168" fontId="36" fillId="0" borderId="0" xfId="0" applyNumberFormat="1" applyFont="1" applyAlignment="1">
      <alignment vertical="center"/>
    </xf>
    <xf numFmtId="168" fontId="36" fillId="0" borderId="21" xfId="0" applyNumberFormat="1" applyFont="1" applyBorder="1" applyAlignment="1">
      <alignment vertical="center"/>
    </xf>
    <xf numFmtId="0" fontId="7" fillId="0" borderId="22" xfId="0" applyFont="1" applyBorder="1" applyAlignment="1">
      <alignment vertical="center"/>
    </xf>
    <xf numFmtId="1" fontId="15" fillId="0" borderId="23" xfId="0" applyNumberFormat="1" applyFont="1" applyBorder="1" applyAlignment="1">
      <alignment vertical="center"/>
    </xf>
    <xf numFmtId="1" fontId="15" fillId="0" borderId="24" xfId="0" applyNumberFormat="1" applyFont="1" applyBorder="1" applyAlignment="1">
      <alignment vertical="center"/>
    </xf>
    <xf numFmtId="168" fontId="15" fillId="0" borderId="7" xfId="0" applyNumberFormat="1" applyFont="1" applyBorder="1" applyAlignment="1">
      <alignment horizontal="center" vertical="center"/>
    </xf>
    <xf numFmtId="0" fontId="45" fillId="0" borderId="0" xfId="0" applyFont="1" applyAlignment="1">
      <alignment vertical="center"/>
    </xf>
    <xf numFmtId="1" fontId="15" fillId="0" borderId="22" xfId="0" applyNumberFormat="1" applyFont="1" applyBorder="1" applyAlignment="1">
      <alignment vertical="center"/>
    </xf>
    <xf numFmtId="168" fontId="36" fillId="0" borderId="7" xfId="0" applyNumberFormat="1" applyFont="1" applyBorder="1" applyAlignment="1">
      <alignment horizontal="center" vertical="center"/>
    </xf>
    <xf numFmtId="0" fontId="15" fillId="0" borderId="38" xfId="0" applyFont="1" applyBorder="1" applyAlignment="1">
      <alignment vertical="center"/>
    </xf>
    <xf numFmtId="168" fontId="15" fillId="0" borderId="5" xfId="0" applyNumberFormat="1" applyFont="1" applyBorder="1" applyAlignment="1">
      <alignment vertical="center"/>
    </xf>
    <xf numFmtId="168" fontId="36" fillId="0" borderId="3" xfId="0" applyNumberFormat="1" applyFont="1" applyBorder="1" applyAlignment="1">
      <alignment vertical="center"/>
    </xf>
    <xf numFmtId="168" fontId="36" fillId="0" borderId="3" xfId="0" applyNumberFormat="1" applyFont="1" applyBorder="1" applyAlignment="1">
      <alignment horizontal="center" vertical="center"/>
    </xf>
    <xf numFmtId="168" fontId="36" fillId="0" borderId="34" xfId="0" applyNumberFormat="1" applyFont="1" applyBorder="1" applyAlignment="1">
      <alignment horizontal="center" vertical="center"/>
    </xf>
    <xf numFmtId="168" fontId="15" fillId="0" borderId="5" xfId="0" applyNumberFormat="1" applyFont="1" applyBorder="1" applyAlignment="1">
      <alignment horizontal="center" vertical="center"/>
    </xf>
    <xf numFmtId="168" fontId="15" fillId="0" borderId="11" xfId="0" applyNumberFormat="1" applyFont="1" applyBorder="1" applyAlignment="1">
      <alignment horizontal="center" vertical="center"/>
    </xf>
    <xf numFmtId="0" fontId="36" fillId="0" borderId="16" xfId="0" applyFont="1" applyBorder="1" applyAlignment="1">
      <alignment horizontal="right" vertical="center"/>
    </xf>
    <xf numFmtId="0" fontId="36" fillId="0" borderId="32" xfId="0" applyFont="1" applyBorder="1" applyAlignment="1">
      <alignment horizontal="right" vertical="center"/>
    </xf>
    <xf numFmtId="0" fontId="36" fillId="0" borderId="16" xfId="0" applyFont="1" applyBorder="1" applyAlignment="1">
      <alignment horizontal="center" vertical="center"/>
    </xf>
    <xf numFmtId="195" fontId="36" fillId="0" borderId="16" xfId="0" applyNumberFormat="1" applyFont="1" applyBorder="1" applyAlignment="1">
      <alignment horizontal="right" vertical="center"/>
    </xf>
    <xf numFmtId="0" fontId="36" fillId="0" borderId="49" xfId="0" applyFont="1" applyBorder="1" applyAlignment="1">
      <alignment horizontal="center" vertical="center"/>
    </xf>
    <xf numFmtId="0" fontId="13" fillId="0" borderId="2" xfId="0" applyFont="1" applyBorder="1" applyAlignment="1">
      <alignment horizontal="right" vertical="center" wrapText="1"/>
    </xf>
    <xf numFmtId="195" fontId="13" fillId="0" borderId="16" xfId="0" applyNumberFormat="1" applyFont="1" applyBorder="1" applyAlignment="1">
      <alignment horizontal="right" vertical="center"/>
    </xf>
    <xf numFmtId="0" fontId="7" fillId="0" borderId="17" xfId="0" applyFont="1" applyBorder="1" applyAlignment="1">
      <alignment vertical="center"/>
    </xf>
    <xf numFmtId="0" fontId="7" fillId="0" borderId="20" xfId="0" applyFont="1" applyBorder="1" applyAlignment="1">
      <alignment vertical="center"/>
    </xf>
    <xf numFmtId="0" fontId="7" fillId="0" borderId="20" xfId="0" applyFont="1" applyBorder="1" applyAlignment="1">
      <alignment vertical="center" wrapText="1"/>
    </xf>
    <xf numFmtId="1" fontId="15" fillId="0" borderId="2" xfId="0" applyNumberFormat="1" applyFont="1" applyBorder="1" applyAlignment="1">
      <alignment horizontal="left" vertical="center"/>
    </xf>
    <xf numFmtId="1" fontId="15" fillId="0" borderId="2" xfId="0" applyNumberFormat="1" applyFont="1" applyBorder="1" applyAlignment="1">
      <alignment horizontal="left" vertical="center" wrapText="1"/>
    </xf>
    <xf numFmtId="169" fontId="7" fillId="0" borderId="2" xfId="1" applyNumberFormat="1" applyFont="1" applyBorder="1" applyAlignment="1">
      <alignment horizontal="center" vertical="center"/>
    </xf>
    <xf numFmtId="169" fontId="7" fillId="0" borderId="33" xfId="1" applyNumberFormat="1" applyFont="1" applyBorder="1" applyAlignment="1">
      <alignment horizontal="center" vertical="center"/>
    </xf>
    <xf numFmtId="0" fontId="7" fillId="0" borderId="23" xfId="0" applyFont="1" applyBorder="1" applyAlignment="1">
      <alignment vertical="center"/>
    </xf>
    <xf numFmtId="0" fontId="7" fillId="0" borderId="23" xfId="0" applyFont="1" applyBorder="1" applyAlignment="1">
      <alignment horizontal="center" vertical="center"/>
    </xf>
    <xf numFmtId="0" fontId="7" fillId="0" borderId="24" xfId="0" applyFont="1" applyBorder="1" applyAlignment="1">
      <alignment horizontal="center" vertical="center"/>
    </xf>
    <xf numFmtId="0" fontId="133" fillId="0" borderId="2" xfId="0" applyFont="1" applyBorder="1" applyAlignment="1">
      <alignment horizontal="center" vertical="center" wrapText="1"/>
    </xf>
    <xf numFmtId="0" fontId="142" fillId="0" borderId="2" xfId="0" applyFont="1" applyBorder="1" applyAlignment="1">
      <alignment horizontal="center" vertical="center" wrapText="1"/>
    </xf>
    <xf numFmtId="168" fontId="133" fillId="0" borderId="2" xfId="4" applyNumberFormat="1" applyFont="1" applyBorder="1" applyAlignment="1">
      <alignment horizontal="center" vertical="center" wrapText="1"/>
    </xf>
    <xf numFmtId="168" fontId="133" fillId="0" borderId="2" xfId="0" applyNumberFormat="1" applyFont="1" applyBorder="1" applyAlignment="1">
      <alignment horizontal="center" vertical="center" wrapText="1"/>
    </xf>
    <xf numFmtId="170" fontId="133" fillId="0" borderId="2" xfId="3" applyNumberFormat="1" applyFont="1" applyBorder="1" applyAlignment="1">
      <alignment horizontal="center" vertical="center" wrapText="1"/>
    </xf>
    <xf numFmtId="168" fontId="133" fillId="0" borderId="2" xfId="0" applyNumberFormat="1" applyFont="1" applyBorder="1" applyAlignment="1">
      <alignment horizontal="center" vertical="center"/>
    </xf>
    <xf numFmtId="171" fontId="133" fillId="0" borderId="2" xfId="3" applyNumberFormat="1" applyFont="1" applyBorder="1" applyAlignment="1">
      <alignment horizontal="center" vertical="center" wrapText="1"/>
    </xf>
    <xf numFmtId="173" fontId="133" fillId="0" borderId="2" xfId="3" applyNumberFormat="1" applyFont="1" applyBorder="1" applyAlignment="1">
      <alignment horizontal="center" vertical="center" wrapText="1"/>
    </xf>
    <xf numFmtId="175" fontId="133" fillId="0" borderId="2" xfId="6" applyNumberFormat="1" applyFont="1" applyFill="1" applyBorder="1" applyAlignment="1">
      <alignment horizontal="center" vertical="center" wrapText="1"/>
    </xf>
    <xf numFmtId="0" fontId="9" fillId="0" borderId="32" xfId="0" applyFont="1" applyBorder="1" applyAlignment="1">
      <alignment horizontal="center" vertical="center"/>
    </xf>
    <xf numFmtId="0" fontId="120" fillId="0" borderId="0" xfId="5" applyFont="1" applyFill="1" applyAlignment="1" applyProtection="1">
      <alignment vertical="center"/>
    </xf>
    <xf numFmtId="49" fontId="15" fillId="0" borderId="2" xfId="31" applyNumberFormat="1" applyFont="1" applyBorder="1" applyAlignment="1">
      <alignment horizontal="left" vertical="center" wrapText="1"/>
    </xf>
    <xf numFmtId="0" fontId="71" fillId="2" borderId="18" xfId="0" applyFont="1" applyFill="1" applyBorder="1"/>
    <xf numFmtId="0" fontId="71" fillId="0" borderId="18" xfId="0" applyFont="1" applyBorder="1"/>
    <xf numFmtId="0" fontId="34" fillId="3" borderId="2" xfId="0" applyFont="1" applyFill="1" applyBorder="1" applyAlignment="1">
      <alignment horizontal="center" vertical="center" wrapText="1"/>
    </xf>
    <xf numFmtId="0" fontId="23" fillId="16" borderId="2" xfId="3" applyFont="1" applyFill="1" applyBorder="1" applyAlignment="1">
      <alignment horizontal="center" vertical="center" wrapText="1"/>
    </xf>
    <xf numFmtId="1" fontId="168" fillId="17" borderId="2" xfId="0" applyNumberFormat="1" applyFont="1" applyFill="1" applyBorder="1" applyAlignment="1">
      <alignment horizontal="center" vertical="center"/>
    </xf>
    <xf numFmtId="1" fontId="169" fillId="17" borderId="2" xfId="0" applyNumberFormat="1" applyFont="1" applyFill="1" applyBorder="1" applyAlignment="1">
      <alignment horizontal="center" vertical="center"/>
    </xf>
    <xf numFmtId="1" fontId="58" fillId="17" borderId="2" xfId="0" applyNumberFormat="1" applyFont="1" applyFill="1" applyBorder="1" applyAlignment="1">
      <alignment horizontal="center" vertical="center"/>
    </xf>
    <xf numFmtId="0" fontId="71" fillId="16" borderId="0" xfId="0" applyFont="1" applyFill="1"/>
    <xf numFmtId="1" fontId="71" fillId="3" borderId="2" xfId="0" applyNumberFormat="1" applyFont="1" applyFill="1" applyBorder="1" applyAlignment="1">
      <alignment horizontal="center" vertical="center"/>
    </xf>
    <xf numFmtId="1" fontId="23" fillId="3" borderId="2" xfId="0" applyNumberFormat="1" applyFont="1" applyFill="1" applyBorder="1" applyAlignment="1">
      <alignment horizontal="center" vertical="center"/>
    </xf>
    <xf numFmtId="1" fontId="71" fillId="0" borderId="2" xfId="0" applyNumberFormat="1" applyFont="1" applyBorder="1" applyAlignment="1">
      <alignment vertical="center"/>
    </xf>
    <xf numFmtId="1" fontId="71" fillId="3" borderId="2" xfId="0" applyNumberFormat="1" applyFont="1" applyFill="1" applyBorder="1" applyAlignment="1">
      <alignment vertical="center"/>
    </xf>
    <xf numFmtId="168" fontId="34" fillId="0" borderId="2" xfId="0" applyNumberFormat="1" applyFont="1" applyBorder="1" applyAlignment="1">
      <alignment vertical="center"/>
    </xf>
    <xf numFmtId="168" fontId="34" fillId="3" borderId="2" xfId="0" applyNumberFormat="1" applyFont="1" applyFill="1" applyBorder="1" applyAlignment="1">
      <alignment vertical="center"/>
    </xf>
    <xf numFmtId="168" fontId="58" fillId="17" borderId="2" xfId="1" applyNumberFormat="1" applyFont="1" applyFill="1" applyBorder="1" applyAlignment="1">
      <alignment horizontal="center" vertical="center"/>
    </xf>
    <xf numFmtId="0" fontId="44" fillId="16" borderId="2" xfId="16" applyFont="1" applyFill="1" applyBorder="1" applyAlignment="1">
      <alignment horizontal="center" vertical="center" wrapText="1"/>
    </xf>
    <xf numFmtId="0" fontId="40" fillId="16" borderId="2" xfId="3" applyFont="1" applyFill="1" applyBorder="1" applyAlignment="1">
      <alignment horizontal="center" vertical="center" wrapText="1"/>
    </xf>
    <xf numFmtId="0" fontId="37" fillId="16" borderId="2" xfId="0" applyFont="1" applyFill="1" applyBorder="1" applyAlignment="1">
      <alignment vertical="center"/>
    </xf>
    <xf numFmtId="0" fontId="37" fillId="16" borderId="2" xfId="0" applyFont="1" applyFill="1" applyBorder="1" applyAlignment="1">
      <alignment vertical="center" wrapText="1"/>
    </xf>
    <xf numFmtId="169" fontId="102" fillId="17" borderId="2" xfId="1" applyNumberFormat="1" applyFont="1" applyFill="1" applyBorder="1" applyAlignment="1">
      <alignment horizontal="center" vertical="center"/>
    </xf>
    <xf numFmtId="0" fontId="13" fillId="0" borderId="35" xfId="0" applyFont="1" applyBorder="1" applyAlignment="1">
      <alignment horizontal="center" vertical="center"/>
    </xf>
    <xf numFmtId="0" fontId="13" fillId="0" borderId="0" xfId="0" applyFont="1" applyAlignment="1">
      <alignment horizontal="center" vertical="center"/>
    </xf>
    <xf numFmtId="0" fontId="10" fillId="5" borderId="2" xfId="0" applyFont="1" applyFill="1" applyBorder="1" applyAlignment="1">
      <alignment horizontal="left" vertical="center" wrapText="1"/>
    </xf>
    <xf numFmtId="1" fontId="10" fillId="5" borderId="2" xfId="0" applyNumberFormat="1" applyFont="1" applyFill="1" applyBorder="1" applyAlignment="1">
      <alignment horizontal="center" vertical="center"/>
    </xf>
    <xf numFmtId="0" fontId="15" fillId="5" borderId="20" xfId="0" applyFont="1" applyFill="1" applyBorder="1" applyAlignment="1">
      <alignment vertical="center"/>
    </xf>
    <xf numFmtId="0" fontId="15" fillId="5" borderId="16" xfId="0" applyFont="1" applyFill="1" applyBorder="1" applyAlignment="1">
      <alignment horizontal="center" vertical="center" wrapText="1"/>
    </xf>
    <xf numFmtId="1" fontId="15" fillId="5" borderId="2" xfId="0" applyNumberFormat="1" applyFont="1" applyFill="1" applyBorder="1" applyAlignment="1">
      <alignment horizontal="center" vertical="center"/>
    </xf>
    <xf numFmtId="1" fontId="15" fillId="5" borderId="33" xfId="0" applyNumberFormat="1" applyFont="1" applyFill="1" applyBorder="1" applyAlignment="1">
      <alignment horizontal="center" vertical="center"/>
    </xf>
    <xf numFmtId="2" fontId="15" fillId="5" borderId="0" xfId="0" applyNumberFormat="1" applyFont="1" applyFill="1" applyAlignment="1">
      <alignment horizontal="right" vertical="center" wrapText="1"/>
    </xf>
    <xf numFmtId="168" fontId="10" fillId="5" borderId="2" xfId="4" applyNumberFormat="1" applyFont="1" applyFill="1" applyBorder="1" applyAlignment="1">
      <alignment horizontal="center" vertical="center" wrapText="1"/>
    </xf>
    <xf numFmtId="0" fontId="170" fillId="11" borderId="2" xfId="0" applyFont="1" applyFill="1" applyBorder="1" applyAlignment="1">
      <alignment vertical="center"/>
    </xf>
    <xf numFmtId="0" fontId="7" fillId="5" borderId="2" xfId="0" applyFont="1" applyFill="1" applyBorder="1" applyAlignment="1">
      <alignment vertical="center"/>
    </xf>
    <xf numFmtId="0" fontId="10" fillId="0" borderId="0" xfId="0" quotePrefix="1" applyFont="1" applyAlignment="1">
      <alignment wrapText="1"/>
    </xf>
    <xf numFmtId="41" fontId="10" fillId="0" borderId="0" xfId="39" quotePrefix="1" applyFont="1" applyAlignment="1">
      <alignment vertical="center" wrapText="1"/>
    </xf>
    <xf numFmtId="0" fontId="10" fillId="0" borderId="2" xfId="31" quotePrefix="1" applyFont="1" applyBorder="1" applyAlignment="1">
      <alignment vertical="center" wrapText="1"/>
    </xf>
    <xf numFmtId="0" fontId="10" fillId="0" borderId="2" xfId="0" quotePrefix="1" applyFont="1" applyBorder="1" applyAlignment="1">
      <alignment horizontal="left" vertical="center" wrapText="1" indent="1"/>
    </xf>
    <xf numFmtId="0" fontId="10" fillId="0" borderId="2" xfId="24" quotePrefix="1" applyFont="1" applyBorder="1" applyAlignment="1">
      <alignment horizontal="center" vertical="center" wrapText="1"/>
    </xf>
    <xf numFmtId="1" fontId="10" fillId="0" borderId="2" xfId="0" quotePrefix="1" applyNumberFormat="1" applyFont="1" applyBorder="1" applyAlignment="1">
      <alignment horizontal="center" vertical="center" wrapText="1"/>
    </xf>
    <xf numFmtId="0" fontId="10" fillId="5" borderId="2" xfId="0" quotePrefix="1" applyFont="1" applyFill="1" applyBorder="1" applyAlignment="1">
      <alignment vertical="center" wrapText="1"/>
    </xf>
    <xf numFmtId="0" fontId="10" fillId="0" borderId="16" xfId="0" quotePrefix="1" applyFont="1" applyBorder="1" applyAlignment="1">
      <alignment horizontal="left" vertical="center" wrapText="1"/>
    </xf>
    <xf numFmtId="168" fontId="10" fillId="0" borderId="2" xfId="0" quotePrefix="1" applyNumberFormat="1" applyFont="1" applyBorder="1" applyAlignment="1">
      <alignment vertical="center" wrapText="1"/>
    </xf>
    <xf numFmtId="0" fontId="10" fillId="0" borderId="16" xfId="0" quotePrefix="1" applyFont="1" applyBorder="1" applyAlignment="1">
      <alignment horizontal="center" wrapText="1"/>
    </xf>
    <xf numFmtId="1" fontId="10" fillId="0" borderId="20" xfId="0" quotePrefix="1" applyNumberFormat="1" applyFont="1" applyBorder="1" applyAlignment="1">
      <alignment horizontal="center" vertical="top" wrapText="1"/>
    </xf>
    <xf numFmtId="0" fontId="10" fillId="0" borderId="20" xfId="22" quotePrefix="1" applyFont="1" applyBorder="1" applyAlignment="1">
      <alignment horizontal="left" vertical="center" wrapText="1"/>
    </xf>
    <xf numFmtId="0" fontId="10" fillId="5" borderId="2" xfId="20" quotePrefix="1" applyFont="1" applyFill="1" applyBorder="1" applyAlignment="1">
      <alignment horizontal="left" vertical="center" wrapText="1"/>
    </xf>
    <xf numFmtId="1" fontId="10" fillId="0" borderId="2" xfId="0" quotePrefix="1" applyNumberFormat="1" applyFont="1" applyBorder="1" applyAlignment="1">
      <alignment horizontal="center" wrapText="1"/>
    </xf>
    <xf numFmtId="1" fontId="10" fillId="19" borderId="2" xfId="0" applyNumberFormat="1" applyFont="1" applyFill="1" applyBorder="1" applyAlignment="1">
      <alignment horizontal="center" vertical="center"/>
    </xf>
    <xf numFmtId="0" fontId="34" fillId="0" borderId="2" xfId="0" applyFont="1" applyBorder="1"/>
    <xf numFmtId="0" fontId="174" fillId="0" borderId="0" xfId="0" applyFont="1"/>
    <xf numFmtId="0" fontId="58" fillId="0" borderId="2" xfId="35" applyFont="1" applyBorder="1" applyAlignment="1">
      <alignment vertical="center" wrapText="1"/>
    </xf>
    <xf numFmtId="168" fontId="71" fillId="0" borderId="2" xfId="35" applyNumberFormat="1" applyFont="1" applyBorder="1" applyAlignment="1">
      <alignment horizontal="center" vertical="center" wrapText="1"/>
    </xf>
    <xf numFmtId="168" fontId="71" fillId="0" borderId="2" xfId="35" applyNumberFormat="1" applyFont="1" applyBorder="1" applyAlignment="1">
      <alignment vertical="center" wrapText="1"/>
    </xf>
    <xf numFmtId="0" fontId="23" fillId="0" borderId="2" xfId="35" applyFont="1" applyBorder="1" applyAlignment="1">
      <alignment vertical="center" wrapText="1"/>
    </xf>
    <xf numFmtId="168" fontId="34" fillId="0" borderId="2" xfId="35" applyNumberFormat="1" applyFont="1" applyBorder="1" applyAlignment="1">
      <alignment horizontal="center" vertical="center" wrapText="1"/>
    </xf>
    <xf numFmtId="168" fontId="34" fillId="0" borderId="2" xfId="35" applyNumberFormat="1" applyFont="1" applyBorder="1" applyAlignment="1">
      <alignment vertical="center" wrapText="1"/>
    </xf>
    <xf numFmtId="166" fontId="15" fillId="0" borderId="3" xfId="3" applyNumberFormat="1" applyFont="1" applyBorder="1" applyAlignment="1">
      <alignment horizontal="center" vertical="center" wrapText="1"/>
    </xf>
    <xf numFmtId="166" fontId="15" fillId="0" borderId="5" xfId="3" applyNumberFormat="1" applyFont="1" applyBorder="1" applyAlignment="1">
      <alignment horizontal="center" vertical="center" wrapText="1"/>
    </xf>
    <xf numFmtId="168" fontId="10" fillId="0" borderId="3" xfId="0" applyNumberFormat="1" applyFont="1" applyBorder="1" applyAlignment="1">
      <alignment horizontal="right" vertical="center" wrapText="1"/>
    </xf>
    <xf numFmtId="168" fontId="10" fillId="0" borderId="5" xfId="0" applyNumberFormat="1" applyFont="1" applyBorder="1" applyAlignment="1">
      <alignment horizontal="right" vertical="center" wrapText="1"/>
    </xf>
    <xf numFmtId="168" fontId="16" fillId="0" borderId="3" xfId="0" applyNumberFormat="1" applyFont="1" applyBorder="1" applyAlignment="1">
      <alignment horizontal="right" vertical="center" wrapText="1"/>
    </xf>
    <xf numFmtId="168" fontId="16" fillId="0" borderId="5" xfId="0" applyNumberFormat="1" applyFont="1" applyBorder="1" applyAlignment="1">
      <alignment horizontal="right" vertical="center" wrapText="1"/>
    </xf>
    <xf numFmtId="0" fontId="71" fillId="0" borderId="13" xfId="0" applyFont="1" applyBorder="1" applyAlignment="1">
      <alignment vertical="center"/>
    </xf>
    <xf numFmtId="2" fontId="15" fillId="0" borderId="2" xfId="31" applyNumberFormat="1" applyFont="1" applyBorder="1" applyAlignment="1">
      <alignment horizontal="center" vertical="center"/>
    </xf>
    <xf numFmtId="0" fontId="155" fillId="5" borderId="0" xfId="5" applyFont="1" applyFill="1" applyAlignment="1" applyProtection="1"/>
    <xf numFmtId="0" fontId="34" fillId="5" borderId="2" xfId="24" applyFont="1" applyFill="1" applyBorder="1" applyAlignment="1">
      <alignment horizontal="center" vertical="top" wrapText="1"/>
    </xf>
    <xf numFmtId="0" fontId="34" fillId="5" borderId="33" xfId="24" applyFont="1" applyFill="1" applyBorder="1" applyAlignment="1">
      <alignment horizontal="center" vertical="top" wrapText="1"/>
    </xf>
    <xf numFmtId="0" fontId="130" fillId="5" borderId="16" xfId="24" applyFont="1" applyFill="1" applyBorder="1" applyAlignment="1">
      <alignment horizontal="center" vertical="center"/>
    </xf>
    <xf numFmtId="0" fontId="130" fillId="5" borderId="2" xfId="25" applyFont="1" applyFill="1" applyBorder="1" applyAlignment="1">
      <alignment vertical="center"/>
    </xf>
    <xf numFmtId="168" fontId="130" fillId="5" borderId="2" xfId="24" applyNumberFormat="1" applyFont="1" applyFill="1" applyBorder="1" applyAlignment="1">
      <alignment horizontal="center" vertical="center"/>
    </xf>
    <xf numFmtId="168" fontId="130" fillId="5" borderId="2" xfId="26" applyNumberFormat="1" applyFont="1" applyFill="1" applyBorder="1" applyAlignment="1">
      <alignment horizontal="center" vertical="center"/>
    </xf>
    <xf numFmtId="0" fontId="130" fillId="5" borderId="6" xfId="24" applyFont="1" applyFill="1" applyBorder="1" applyAlignment="1">
      <alignment vertical="center"/>
    </xf>
    <xf numFmtId="2" fontId="130" fillId="5" borderId="2" xfId="24" applyNumberFormat="1" applyFont="1" applyFill="1" applyBorder="1" applyAlignment="1">
      <alignment horizontal="center" vertical="center"/>
    </xf>
    <xf numFmtId="0" fontId="130" fillId="5" borderId="2" xfId="25" applyFont="1" applyFill="1" applyBorder="1" applyAlignment="1">
      <alignment vertical="center" wrapText="1"/>
    </xf>
    <xf numFmtId="0" fontId="15" fillId="5" borderId="0" xfId="0" quotePrefix="1" applyFont="1" applyFill="1" applyAlignment="1">
      <alignment wrapText="1"/>
    </xf>
    <xf numFmtId="0" fontId="33" fillId="5" borderId="2" xfId="24" applyFont="1" applyFill="1" applyBorder="1" applyAlignment="1">
      <alignment vertical="center" wrapText="1"/>
    </xf>
    <xf numFmtId="168" fontId="33" fillId="5" borderId="2" xfId="24" applyNumberFormat="1" applyFont="1" applyFill="1" applyBorder="1" applyAlignment="1">
      <alignment horizontal="center" vertical="center"/>
    </xf>
    <xf numFmtId="0" fontId="130" fillId="5" borderId="2" xfId="24" applyFont="1" applyFill="1" applyBorder="1" applyAlignment="1">
      <alignment horizontal="left" vertical="center" wrapText="1"/>
    </xf>
    <xf numFmtId="168" fontId="130" fillId="5" borderId="2" xfId="0" applyNumberFormat="1" applyFont="1" applyFill="1" applyBorder="1" applyAlignment="1">
      <alignment horizontal="center" vertical="center"/>
    </xf>
    <xf numFmtId="0" fontId="130" fillId="5" borderId="2" xfId="24" applyFont="1" applyFill="1" applyBorder="1" applyAlignment="1">
      <alignment vertical="center" wrapText="1"/>
    </xf>
    <xf numFmtId="168" fontId="33" fillId="5" borderId="2" xfId="26" applyNumberFormat="1" applyFont="1" applyFill="1" applyBorder="1" applyAlignment="1">
      <alignment horizontal="center" vertical="center"/>
    </xf>
    <xf numFmtId="0" fontId="130" fillId="5" borderId="2" xfId="24" applyFont="1" applyFill="1" applyBorder="1" applyAlignment="1">
      <alignment vertical="center"/>
    </xf>
    <xf numFmtId="185" fontId="130" fillId="5" borderId="2" xfId="26" applyNumberFormat="1" applyFont="1" applyFill="1" applyBorder="1" applyAlignment="1">
      <alignment horizontal="center" vertical="center"/>
    </xf>
    <xf numFmtId="0" fontId="33" fillId="5" borderId="16" xfId="24" applyFont="1" applyFill="1" applyBorder="1" applyAlignment="1">
      <alignment horizontal="center" vertical="center"/>
    </xf>
    <xf numFmtId="0" fontId="33" fillId="5" borderId="2" xfId="24" applyFont="1" applyFill="1" applyBorder="1" applyAlignment="1">
      <alignment vertical="center"/>
    </xf>
    <xf numFmtId="0" fontId="15" fillId="5" borderId="23" xfId="0" applyFont="1" applyFill="1" applyBorder="1"/>
    <xf numFmtId="0" fontId="15" fillId="5" borderId="24" xfId="0" applyFont="1" applyFill="1" applyBorder="1"/>
    <xf numFmtId="0" fontId="36" fillId="5" borderId="2" xfId="16" applyFont="1" applyFill="1" applyBorder="1" applyAlignment="1">
      <alignment horizontal="center" vertical="center" wrapText="1"/>
    </xf>
    <xf numFmtId="0" fontId="36" fillId="5" borderId="2" xfId="0" applyFont="1" applyFill="1" applyBorder="1" applyAlignment="1">
      <alignment horizontal="center" vertical="center"/>
    </xf>
    <xf numFmtId="2" fontId="15" fillId="5" borderId="2" xfId="63" applyNumberFormat="1" applyFont="1" applyFill="1" applyBorder="1" applyAlignment="1">
      <alignment horizontal="center" vertical="center"/>
    </xf>
    <xf numFmtId="0" fontId="15" fillId="5" borderId="10" xfId="25" applyFont="1" applyFill="1" applyBorder="1" applyAlignment="1">
      <alignment vertical="center"/>
    </xf>
    <xf numFmtId="0" fontId="15" fillId="5" borderId="12" xfId="25" applyFont="1" applyFill="1" applyBorder="1" applyAlignment="1">
      <alignment vertical="center"/>
    </xf>
    <xf numFmtId="0" fontId="15" fillId="5" borderId="4" xfId="25" applyFont="1" applyFill="1" applyBorder="1" applyAlignment="1">
      <alignment vertical="center"/>
    </xf>
    <xf numFmtId="0" fontId="36" fillId="5" borderId="2" xfId="30" applyFont="1" applyFill="1" applyBorder="1" applyAlignment="1">
      <alignment horizontal="center" vertical="center"/>
    </xf>
    <xf numFmtId="0" fontId="36" fillId="5" borderId="2" xfId="3" applyFont="1" applyFill="1" applyBorder="1" applyAlignment="1">
      <alignment horizontal="center" vertical="center" wrapText="1"/>
    </xf>
    <xf numFmtId="168" fontId="36" fillId="5" borderId="2" xfId="0" applyNumberFormat="1" applyFont="1" applyFill="1" applyBorder="1" applyAlignment="1">
      <alignment horizontal="center" vertical="center" wrapText="1"/>
    </xf>
    <xf numFmtId="168" fontId="15" fillId="5" borderId="2" xfId="30" applyNumberFormat="1" applyFont="1" applyFill="1" applyBorder="1" applyAlignment="1">
      <alignment horizontal="center" vertical="center"/>
    </xf>
    <xf numFmtId="0" fontId="15" fillId="5" borderId="2" xfId="30" applyFont="1" applyFill="1" applyBorder="1" applyAlignment="1">
      <alignment horizontal="left" vertical="center"/>
    </xf>
    <xf numFmtId="168" fontId="15" fillId="5" borderId="2" xfId="30" quotePrefix="1" applyNumberFormat="1" applyFont="1" applyFill="1" applyBorder="1" applyAlignment="1">
      <alignment horizontal="center" vertical="center"/>
    </xf>
    <xf numFmtId="168" fontId="15" fillId="5" borderId="2" xfId="0" applyNumberFormat="1" applyFont="1" applyFill="1" applyBorder="1" applyAlignment="1">
      <alignment horizontal="center"/>
    </xf>
    <xf numFmtId="0" fontId="15" fillId="5" borderId="2" xfId="30" quotePrefix="1" applyFont="1" applyFill="1" applyBorder="1" applyAlignment="1">
      <alignment horizontal="center" vertical="center"/>
    </xf>
    <xf numFmtId="168" fontId="36" fillId="5" borderId="2" xfId="30" applyNumberFormat="1" applyFont="1" applyFill="1" applyBorder="1" applyAlignment="1">
      <alignment horizontal="center" vertical="center"/>
    </xf>
    <xf numFmtId="0" fontId="15" fillId="5" borderId="0" xfId="30" applyFont="1" applyFill="1" applyAlignment="1">
      <alignment vertical="center"/>
    </xf>
    <xf numFmtId="168" fontId="71" fillId="5" borderId="2" xfId="0" applyNumberFormat="1" applyFont="1" applyFill="1" applyBorder="1" applyAlignment="1">
      <alignment horizontal="center" vertical="center"/>
    </xf>
    <xf numFmtId="0" fontId="34" fillId="5" borderId="38" xfId="0" applyFont="1" applyFill="1" applyBorder="1" applyAlignment="1">
      <alignment horizontal="center" vertical="center"/>
    </xf>
    <xf numFmtId="168" fontId="34" fillId="5" borderId="7" xfId="0" applyNumberFormat="1" applyFont="1" applyFill="1" applyBorder="1" applyAlignment="1">
      <alignment horizontal="center" vertical="center" wrapText="1"/>
    </xf>
    <xf numFmtId="0" fontId="34" fillId="5" borderId="16" xfId="0" applyFont="1" applyFill="1" applyBorder="1" applyAlignment="1">
      <alignment vertical="center" wrapText="1"/>
    </xf>
    <xf numFmtId="168" fontId="34" fillId="5" borderId="7" xfId="0" applyNumberFormat="1" applyFont="1" applyFill="1" applyBorder="1" applyAlignment="1">
      <alignment horizontal="center" vertical="center"/>
    </xf>
    <xf numFmtId="0" fontId="71" fillId="5" borderId="16" xfId="0" applyFont="1" applyFill="1" applyBorder="1" applyAlignment="1">
      <alignment horizontal="right" vertical="center" wrapText="1"/>
    </xf>
    <xf numFmtId="168" fontId="71" fillId="5" borderId="7" xfId="0" applyNumberFormat="1" applyFont="1" applyFill="1" applyBorder="1" applyAlignment="1">
      <alignment horizontal="center" vertical="center"/>
    </xf>
    <xf numFmtId="168" fontId="71" fillId="5" borderId="33" xfId="0" applyNumberFormat="1" applyFont="1" applyFill="1" applyBorder="1" applyAlignment="1">
      <alignment horizontal="center" vertical="center"/>
    </xf>
    <xf numFmtId="166" fontId="71" fillId="5" borderId="16" xfId="3" applyNumberFormat="1" applyFont="1" applyFill="1" applyBorder="1" applyAlignment="1">
      <alignment horizontal="center" vertical="center" wrapText="1"/>
    </xf>
    <xf numFmtId="2" fontId="71" fillId="5" borderId="2" xfId="0" applyNumberFormat="1" applyFont="1" applyFill="1" applyBorder="1" applyAlignment="1">
      <alignment vertical="center" wrapText="1" shrinkToFit="1"/>
    </xf>
    <xf numFmtId="3" fontId="71" fillId="5" borderId="7" xfId="0" applyNumberFormat="1" applyFont="1" applyFill="1" applyBorder="1" applyAlignment="1">
      <alignment horizontal="center" vertical="center" wrapText="1"/>
    </xf>
    <xf numFmtId="0" fontId="71" fillId="5" borderId="0" xfId="0" applyFont="1" applyFill="1" applyAlignment="1">
      <alignment wrapText="1"/>
    </xf>
    <xf numFmtId="2" fontId="71" fillId="5" borderId="2" xfId="0" applyNumberFormat="1" applyFont="1" applyFill="1" applyBorder="1" applyAlignment="1">
      <alignment vertical="center" wrapText="1"/>
    </xf>
    <xf numFmtId="0" fontId="71" fillId="5" borderId="16" xfId="0" applyFont="1" applyFill="1" applyBorder="1" applyAlignment="1">
      <alignment horizontal="center" vertical="center" wrapText="1"/>
    </xf>
    <xf numFmtId="2" fontId="71" fillId="5" borderId="2" xfId="0" applyNumberFormat="1" applyFont="1" applyFill="1" applyBorder="1" applyAlignment="1">
      <alignment horizontal="left" vertical="center" wrapText="1"/>
    </xf>
    <xf numFmtId="0" fontId="7" fillId="0" borderId="3" xfId="0" applyFont="1" applyBorder="1" applyAlignment="1">
      <alignment wrapText="1"/>
    </xf>
    <xf numFmtId="0" fontId="12" fillId="0" borderId="3" xfId="0" applyFont="1" applyBorder="1" applyAlignment="1">
      <alignment wrapText="1"/>
    </xf>
    <xf numFmtId="166" fontId="15" fillId="0" borderId="5" xfId="3" applyNumberFormat="1" applyFont="1" applyBorder="1" applyAlignment="1">
      <alignment horizontal="left" vertical="center" wrapText="1"/>
    </xf>
    <xf numFmtId="166" fontId="15" fillId="0" borderId="5" xfId="3" applyNumberFormat="1" applyFont="1" applyBorder="1" applyAlignment="1">
      <alignment horizontal="center" vertical="center" wrapText="1" shrinkToFit="1"/>
    </xf>
    <xf numFmtId="168" fontId="15" fillId="0" borderId="5" xfId="0" applyNumberFormat="1" applyFont="1" applyBorder="1" applyAlignment="1">
      <alignment horizontal="right" vertical="center" wrapText="1"/>
    </xf>
    <xf numFmtId="166" fontId="15" fillId="0" borderId="0" xfId="3" applyNumberFormat="1" applyFont="1" applyAlignment="1">
      <alignment horizontal="center" vertical="center" wrapText="1"/>
    </xf>
    <xf numFmtId="166" fontId="10" fillId="0" borderId="0" xfId="3" quotePrefix="1" applyNumberFormat="1" applyFont="1" applyAlignment="1">
      <alignment horizontal="left" vertical="center" wrapText="1"/>
    </xf>
    <xf numFmtId="166" fontId="15" fillId="0" borderId="0" xfId="3" applyNumberFormat="1" applyFont="1" applyAlignment="1">
      <alignment horizontal="left" vertical="center" wrapText="1"/>
    </xf>
    <xf numFmtId="170" fontId="15" fillId="0" borderId="0" xfId="3" applyNumberFormat="1" applyFont="1" applyAlignment="1">
      <alignment horizontal="right" vertical="center" wrapText="1"/>
    </xf>
    <xf numFmtId="170" fontId="16" fillId="0" borderId="0" xfId="3" applyNumberFormat="1" applyFont="1" applyAlignment="1">
      <alignment horizontal="right" vertical="center" wrapText="1"/>
    </xf>
    <xf numFmtId="0" fontId="7" fillId="0" borderId="0" xfId="0" applyFont="1" applyAlignment="1">
      <alignment horizontal="left" vertical="center" indent="3"/>
    </xf>
    <xf numFmtId="0" fontId="13" fillId="5" borderId="2" xfId="0" applyFont="1" applyFill="1" applyBorder="1" applyAlignment="1">
      <alignment horizontal="center" vertical="top" wrapText="1"/>
    </xf>
    <xf numFmtId="0" fontId="13" fillId="5" borderId="20" xfId="0" applyFont="1" applyFill="1" applyBorder="1" applyAlignment="1">
      <alignment horizontal="left" vertical="center"/>
    </xf>
    <xf numFmtId="1" fontId="130" fillId="0" borderId="2" xfId="61" applyNumberFormat="1" applyFont="1" applyFill="1" applyBorder="1" applyAlignment="1">
      <alignment horizontal="center" vertical="center"/>
    </xf>
    <xf numFmtId="1" fontId="33" fillId="0" borderId="2" xfId="61" applyNumberFormat="1" applyFont="1" applyFill="1" applyBorder="1" applyAlignment="1">
      <alignment horizontal="center" vertical="center"/>
    </xf>
    <xf numFmtId="0" fontId="36" fillId="0" borderId="2" xfId="35" applyFont="1" applyBorder="1" applyAlignment="1">
      <alignment horizontal="center" vertical="top" wrapText="1"/>
    </xf>
    <xf numFmtId="0" fontId="36" fillId="0" borderId="2" xfId="3" applyFont="1" applyBorder="1" applyAlignment="1">
      <alignment horizontal="center" vertical="top" wrapText="1"/>
    </xf>
    <xf numFmtId="0" fontId="36" fillId="0" borderId="33" xfId="0" applyFont="1" applyBorder="1" applyAlignment="1">
      <alignment horizontal="center" vertical="top" wrapText="1"/>
    </xf>
    <xf numFmtId="195" fontId="9" fillId="0" borderId="16" xfId="0" quotePrefix="1" applyNumberFormat="1" applyFont="1" applyBorder="1" applyAlignment="1">
      <alignment horizontal="left" vertical="center" wrapText="1"/>
    </xf>
    <xf numFmtId="0" fontId="9" fillId="0" borderId="2" xfId="0" quotePrefix="1" applyFont="1" applyBorder="1" applyAlignment="1">
      <alignment horizontal="right" vertical="center" wrapText="1"/>
    </xf>
    <xf numFmtId="0" fontId="69" fillId="0" borderId="26" xfId="0" applyFont="1" applyBorder="1" applyAlignment="1">
      <alignment horizontal="center"/>
    </xf>
    <xf numFmtId="0" fontId="173" fillId="5" borderId="78" xfId="0" applyFont="1" applyFill="1" applyBorder="1" applyAlignment="1">
      <alignment horizontal="left" wrapText="1" readingOrder="1"/>
    </xf>
    <xf numFmtId="168" fontId="0" fillId="5" borderId="0" xfId="0" applyNumberFormat="1" applyFill="1"/>
    <xf numFmtId="168" fontId="3" fillId="5" borderId="0" xfId="0" applyNumberFormat="1" applyFont="1" applyFill="1"/>
    <xf numFmtId="168" fontId="0" fillId="0" borderId="0" xfId="0" applyNumberFormat="1" applyAlignment="1">
      <alignment vertical="top"/>
    </xf>
    <xf numFmtId="0" fontId="113" fillId="5" borderId="0" xfId="0" applyFont="1" applyFill="1" applyAlignment="1">
      <alignment horizontal="center" vertical="center"/>
    </xf>
    <xf numFmtId="0" fontId="23" fillId="0" borderId="38" xfId="3" applyFont="1" applyBorder="1" applyAlignment="1">
      <alignment horizontal="center" vertical="center" wrapText="1"/>
    </xf>
    <xf numFmtId="0" fontId="23" fillId="0" borderId="5" xfId="3" applyFont="1" applyBorder="1" applyAlignment="1">
      <alignment horizontal="center" vertical="center" wrapText="1"/>
    </xf>
    <xf numFmtId="0" fontId="49" fillId="0" borderId="5" xfId="3" applyFont="1" applyBorder="1" applyAlignment="1">
      <alignment horizontal="center" vertical="center" wrapText="1"/>
    </xf>
    <xf numFmtId="0" fontId="23" fillId="0" borderId="56" xfId="3" applyFont="1" applyBorder="1" applyAlignment="1">
      <alignment horizontal="center" vertical="center" wrapText="1"/>
    </xf>
    <xf numFmtId="1" fontId="177" fillId="0" borderId="33" xfId="0" applyNumberFormat="1" applyFont="1" applyBorder="1" applyAlignment="1">
      <alignment horizontal="center" vertical="center"/>
    </xf>
    <xf numFmtId="0" fontId="179" fillId="0" borderId="79" xfId="0" applyFont="1" applyBorder="1"/>
    <xf numFmtId="3" fontId="3" fillId="5" borderId="2" xfId="0" applyNumberFormat="1" applyFont="1" applyFill="1" applyBorder="1" applyAlignment="1">
      <alignment horizontal="center" vertical="center"/>
    </xf>
    <xf numFmtId="3" fontId="113" fillId="5" borderId="2" xfId="0" applyNumberFormat="1" applyFont="1" applyFill="1" applyBorder="1" applyAlignment="1">
      <alignment horizontal="center" vertical="center"/>
    </xf>
    <xf numFmtId="0" fontId="0" fillId="5" borderId="2" xfId="0" applyFill="1" applyBorder="1" applyAlignment="1">
      <alignment horizontal="center" vertical="center"/>
    </xf>
    <xf numFmtId="0" fontId="63" fillId="5" borderId="2" xfId="0" applyFont="1" applyFill="1" applyBorder="1" applyAlignment="1">
      <alignment horizontal="center" vertical="center"/>
    </xf>
    <xf numFmtId="3" fontId="0" fillId="5" borderId="2" xfId="0" applyNumberFormat="1" applyFill="1" applyBorder="1" applyAlignment="1">
      <alignment horizontal="center" vertical="center"/>
    </xf>
    <xf numFmtId="3" fontId="63" fillId="5" borderId="2" xfId="0" applyNumberFormat="1" applyFont="1" applyFill="1" applyBorder="1" applyAlignment="1">
      <alignment horizontal="center" vertical="center"/>
    </xf>
    <xf numFmtId="0" fontId="151" fillId="8" borderId="2" xfId="0" applyFont="1" applyFill="1" applyBorder="1" applyAlignment="1">
      <alignment horizontal="center" vertical="center"/>
    </xf>
    <xf numFmtId="0" fontId="151" fillId="19" borderId="2" xfId="0" applyFont="1" applyFill="1" applyBorder="1" applyAlignment="1">
      <alignment horizontal="center" vertical="center"/>
    </xf>
    <xf numFmtId="3" fontId="3" fillId="19" borderId="2" xfId="0" applyNumberFormat="1" applyFont="1" applyFill="1" applyBorder="1" applyAlignment="1">
      <alignment horizontal="center" vertical="center"/>
    </xf>
    <xf numFmtId="3" fontId="113" fillId="19" borderId="2" xfId="0" applyNumberFormat="1" applyFont="1" applyFill="1" applyBorder="1" applyAlignment="1">
      <alignment horizontal="center" vertical="center"/>
    </xf>
    <xf numFmtId="0" fontId="0" fillId="19" borderId="2" xfId="0" applyFill="1" applyBorder="1" applyAlignment="1">
      <alignment horizontal="center" vertical="center"/>
    </xf>
    <xf numFmtId="0" fontId="63" fillId="19" borderId="2" xfId="0" applyFont="1" applyFill="1" applyBorder="1" applyAlignment="1">
      <alignment horizontal="center" vertical="center"/>
    </xf>
    <xf numFmtId="3" fontId="0" fillId="19" borderId="2" xfId="0" applyNumberFormat="1" applyFill="1" applyBorder="1" applyAlignment="1">
      <alignment horizontal="center" vertical="center"/>
    </xf>
    <xf numFmtId="3" fontId="63" fillId="19" borderId="2" xfId="0" applyNumberFormat="1" applyFont="1" applyFill="1" applyBorder="1" applyAlignment="1">
      <alignment horizontal="center" vertical="center"/>
    </xf>
    <xf numFmtId="177" fontId="0" fillId="19" borderId="2" xfId="0" applyNumberFormat="1" applyFill="1" applyBorder="1" applyAlignment="1">
      <alignment horizontal="center" vertical="center"/>
    </xf>
    <xf numFmtId="1" fontId="0" fillId="19" borderId="2" xfId="0" applyNumberFormat="1" applyFill="1" applyBorder="1" applyAlignment="1">
      <alignment horizontal="center" vertical="center"/>
    </xf>
    <xf numFmtId="1" fontId="63" fillId="19" borderId="2" xfId="0" applyNumberFormat="1" applyFont="1" applyFill="1" applyBorder="1" applyAlignment="1">
      <alignment horizontal="center" vertical="center"/>
    </xf>
    <xf numFmtId="166" fontId="133" fillId="0" borderId="2" xfId="3" applyNumberFormat="1" applyFont="1" applyBorder="1" applyAlignment="1">
      <alignment vertical="center" wrapText="1"/>
    </xf>
    <xf numFmtId="0" fontId="142" fillId="0" borderId="2" xfId="0" applyFont="1" applyBorder="1" applyAlignment="1">
      <alignment vertical="center" wrapText="1"/>
    </xf>
    <xf numFmtId="168" fontId="142" fillId="0" borderId="2" xfId="0" applyNumberFormat="1" applyFont="1" applyBorder="1" applyAlignment="1">
      <alignment horizontal="center" vertical="center" wrapText="1"/>
    </xf>
    <xf numFmtId="168" fontId="142" fillId="0" borderId="2" xfId="0" applyNumberFormat="1" applyFont="1" applyBorder="1" applyAlignment="1">
      <alignment horizontal="center" vertical="center"/>
    </xf>
    <xf numFmtId="0" fontId="142" fillId="0" borderId="2" xfId="0" applyFont="1" applyBorder="1" applyAlignment="1">
      <alignment horizontal="center" vertical="center"/>
    </xf>
    <xf numFmtId="168" fontId="178" fillId="0" borderId="2" xfId="0" applyNumberFormat="1" applyFont="1" applyBorder="1" applyAlignment="1">
      <alignment vertical="center" wrapText="1"/>
    </xf>
    <xf numFmtId="168" fontId="133" fillId="0" borderId="2" xfId="0" applyNumberFormat="1" applyFont="1" applyBorder="1" applyAlignment="1">
      <alignment vertical="center" wrapText="1"/>
    </xf>
    <xf numFmtId="0" fontId="180" fillId="0" borderId="2" xfId="0" applyFont="1" applyBorder="1" applyAlignment="1">
      <alignment vertical="center" wrapText="1"/>
    </xf>
    <xf numFmtId="0" fontId="181" fillId="0" borderId="2" xfId="0" applyFont="1" applyBorder="1" applyAlignment="1">
      <alignment vertical="center" wrapText="1"/>
    </xf>
    <xf numFmtId="0" fontId="71" fillId="0" borderId="2" xfId="0" applyFont="1" applyBorder="1" applyAlignment="1">
      <alignment horizontal="right" vertical="center" wrapText="1"/>
    </xf>
    <xf numFmtId="168" fontId="0" fillId="0" borderId="2" xfId="1" applyNumberFormat="1" applyFont="1" applyBorder="1"/>
    <xf numFmtId="168" fontId="26" fillId="0" borderId="2" xfId="1" applyNumberFormat="1" applyFont="1" applyBorder="1"/>
    <xf numFmtId="1" fontId="15" fillId="0" borderId="2" xfId="9" applyNumberFormat="1" applyFont="1" applyBorder="1" applyAlignment="1">
      <alignment horizontal="center" vertical="center"/>
    </xf>
    <xf numFmtId="1" fontId="15" fillId="0" borderId="2" xfId="0" applyNumberFormat="1" applyFont="1" applyBorder="1" applyAlignment="1">
      <alignment horizontal="center"/>
    </xf>
    <xf numFmtId="1" fontId="15" fillId="0" borderId="33" xfId="0" applyNumberFormat="1" applyFont="1" applyBorder="1" applyAlignment="1">
      <alignment horizontal="center"/>
    </xf>
    <xf numFmtId="1" fontId="36" fillId="0" borderId="2" xfId="9" applyNumberFormat="1" applyFont="1" applyBorder="1" applyAlignment="1">
      <alignment horizontal="center" vertical="center"/>
    </xf>
    <xf numFmtId="1" fontId="36" fillId="0" borderId="2" xfId="0" applyNumberFormat="1" applyFont="1" applyBorder="1" applyAlignment="1">
      <alignment horizontal="center"/>
    </xf>
    <xf numFmtId="1" fontId="36" fillId="0" borderId="33" xfId="0" applyNumberFormat="1" applyFont="1" applyBorder="1" applyAlignment="1">
      <alignment horizontal="center"/>
    </xf>
    <xf numFmtId="1" fontId="15" fillId="0" borderId="33" xfId="0" applyNumberFormat="1" applyFont="1" applyBorder="1" applyAlignment="1">
      <alignment horizontal="center" vertical="center"/>
    </xf>
    <xf numFmtId="0" fontId="36" fillId="0" borderId="2" xfId="35" applyFont="1" applyBorder="1" applyAlignment="1">
      <alignment horizontal="center" vertical="center" wrapText="1"/>
    </xf>
    <xf numFmtId="0" fontId="9" fillId="0" borderId="7" xfId="3" applyFont="1" applyBorder="1" applyAlignment="1">
      <alignment horizontal="center" vertical="center" wrapText="1"/>
    </xf>
    <xf numFmtId="0" fontId="7" fillId="5" borderId="16" xfId="0" applyFont="1" applyFill="1" applyBorder="1" applyAlignment="1">
      <alignment vertical="center"/>
    </xf>
    <xf numFmtId="168" fontId="15" fillId="5" borderId="2" xfId="0" applyNumberFormat="1" applyFont="1" applyFill="1" applyBorder="1" applyAlignment="1">
      <alignment vertical="center"/>
    </xf>
    <xf numFmtId="168" fontId="15" fillId="5" borderId="33" xfId="0" applyNumberFormat="1" applyFont="1" applyFill="1" applyBorder="1" applyAlignment="1">
      <alignment horizontal="center" vertical="center"/>
    </xf>
    <xf numFmtId="0" fontId="13" fillId="5" borderId="16" xfId="0" applyFont="1" applyFill="1" applyBorder="1" applyAlignment="1">
      <alignment horizontal="right" vertical="center"/>
    </xf>
    <xf numFmtId="168" fontId="10" fillId="5" borderId="2" xfId="0" quotePrefix="1" applyNumberFormat="1" applyFont="1" applyFill="1" applyBorder="1" applyAlignment="1">
      <alignment vertical="center" wrapText="1"/>
    </xf>
    <xf numFmtId="168" fontId="36" fillId="5" borderId="2" xfId="0" applyNumberFormat="1" applyFont="1" applyFill="1" applyBorder="1" applyAlignment="1">
      <alignment vertical="center"/>
    </xf>
    <xf numFmtId="168" fontId="36" fillId="5" borderId="2" xfId="0" applyNumberFormat="1" applyFont="1" applyFill="1" applyBorder="1" applyAlignment="1">
      <alignment horizontal="center" vertical="center"/>
    </xf>
    <xf numFmtId="168" fontId="36" fillId="5" borderId="33" xfId="0" applyNumberFormat="1" applyFont="1" applyFill="1" applyBorder="1" applyAlignment="1">
      <alignment horizontal="center" vertical="center"/>
    </xf>
    <xf numFmtId="0" fontId="7" fillId="5" borderId="16" xfId="0" applyFont="1" applyFill="1" applyBorder="1" applyAlignment="1">
      <alignment vertical="center" wrapText="1"/>
    </xf>
    <xf numFmtId="0" fontId="13" fillId="5" borderId="16" xfId="0" applyFont="1" applyFill="1" applyBorder="1" applyAlignment="1">
      <alignment horizontal="center" vertical="center"/>
    </xf>
    <xf numFmtId="168" fontId="15" fillId="5" borderId="7" xfId="0" applyNumberFormat="1" applyFont="1" applyFill="1" applyBorder="1" applyAlignment="1">
      <alignment horizontal="center" vertical="center"/>
    </xf>
    <xf numFmtId="168" fontId="36" fillId="5" borderId="7" xfId="0" applyNumberFormat="1" applyFont="1" applyFill="1" applyBorder="1" applyAlignment="1">
      <alignment horizontal="center" vertical="center"/>
    </xf>
    <xf numFmtId="41" fontId="36" fillId="0" borderId="7" xfId="39" applyFont="1" applyBorder="1" applyAlignment="1">
      <alignment horizontal="center" vertical="center" wrapText="1"/>
    </xf>
    <xf numFmtId="0" fontId="15" fillId="0" borderId="2" xfId="0" applyFont="1" applyBorder="1" applyAlignment="1">
      <alignment horizontal="left" vertical="center" wrapText="1"/>
    </xf>
    <xf numFmtId="195" fontId="12" fillId="0" borderId="2" xfId="0" applyNumberFormat="1" applyFont="1" applyBorder="1" applyAlignment="1">
      <alignment horizontal="left" vertical="center" wrapText="1"/>
    </xf>
    <xf numFmtId="3" fontId="7" fillId="0" borderId="2" xfId="0" applyNumberFormat="1" applyFont="1" applyBorder="1"/>
    <xf numFmtId="169" fontId="10" fillId="0" borderId="2" xfId="1" applyNumberFormat="1" applyFont="1" applyFill="1" applyBorder="1" applyAlignment="1">
      <alignment horizontal="center" vertical="center"/>
    </xf>
    <xf numFmtId="168" fontId="9" fillId="0" borderId="2" xfId="0" applyNumberFormat="1" applyFont="1" applyBorder="1" applyAlignment="1">
      <alignment horizontal="center" vertical="center"/>
    </xf>
    <xf numFmtId="10" fontId="9" fillId="0" borderId="2" xfId="0" applyNumberFormat="1" applyFont="1" applyBorder="1" applyAlignment="1">
      <alignment horizontal="center" vertical="center"/>
    </xf>
    <xf numFmtId="0" fontId="182" fillId="0" borderId="59" xfId="0" applyFont="1" applyBorder="1" applyAlignment="1">
      <alignment horizontal="center" vertical="center" wrapText="1"/>
    </xf>
    <xf numFmtId="0" fontId="34" fillId="0" borderId="9" xfId="0" applyFont="1" applyBorder="1" applyAlignment="1">
      <alignment horizontal="center" vertical="center"/>
    </xf>
    <xf numFmtId="0" fontId="183" fillId="0" borderId="2" xfId="0" applyFont="1" applyBorder="1" applyAlignment="1">
      <alignment horizontal="center" vertical="center" textRotation="90" wrapText="1"/>
    </xf>
    <xf numFmtId="0" fontId="0" fillId="0" borderId="0" xfId="0" applyAlignment="1">
      <alignment horizontal="center"/>
    </xf>
    <xf numFmtId="0" fontId="7" fillId="0" borderId="33" xfId="0" applyFont="1" applyBorder="1" applyAlignment="1">
      <alignment horizontal="center"/>
    </xf>
    <xf numFmtId="41" fontId="13" fillId="0" borderId="2" xfId="39" applyFont="1" applyBorder="1" applyAlignment="1">
      <alignment horizontal="center" vertical="center" wrapText="1"/>
    </xf>
    <xf numFmtId="0" fontId="57" fillId="0" borderId="0" xfId="83"/>
    <xf numFmtId="168" fontId="58" fillId="0" borderId="2" xfId="11" applyNumberFormat="1" applyFont="1" applyFill="1" applyBorder="1" applyAlignment="1">
      <alignment horizontal="center" wrapText="1"/>
    </xf>
    <xf numFmtId="168" fontId="23" fillId="0" borderId="2" xfId="11" applyNumberFormat="1" applyFont="1" applyFill="1" applyBorder="1" applyAlignment="1">
      <alignment horizontal="center" wrapText="1"/>
    </xf>
    <xf numFmtId="168" fontId="71" fillId="0" borderId="2" xfId="11" applyNumberFormat="1" applyFont="1" applyFill="1" applyBorder="1" applyAlignment="1">
      <alignment horizontal="center" vertical="center"/>
    </xf>
    <xf numFmtId="168" fontId="71" fillId="0" borderId="2" xfId="11" applyNumberFormat="1" applyFont="1" applyFill="1" applyBorder="1" applyAlignment="1">
      <alignment horizontal="center"/>
    </xf>
    <xf numFmtId="168" fontId="34" fillId="0" borderId="2" xfId="11" applyNumberFormat="1" applyFont="1" applyFill="1" applyBorder="1" applyAlignment="1">
      <alignment horizontal="center"/>
    </xf>
    <xf numFmtId="0" fontId="184" fillId="0" borderId="2" xfId="84" applyFont="1" applyBorder="1" applyAlignment="1">
      <alignment horizontal="center" vertical="center"/>
    </xf>
    <xf numFmtId="168" fontId="58" fillId="0" borderId="2" xfId="11" applyNumberFormat="1" applyFont="1" applyFill="1" applyBorder="1" applyAlignment="1">
      <alignment horizontal="center"/>
    </xf>
    <xf numFmtId="0" fontId="10" fillId="0" borderId="2" xfId="11" applyFont="1" applyFill="1" applyBorder="1"/>
    <xf numFmtId="0" fontId="9" fillId="0" borderId="2" xfId="11" applyFont="1" applyFill="1" applyBorder="1"/>
    <xf numFmtId="0" fontId="50" fillId="0" borderId="0" xfId="11" applyFont="1" applyFill="1" applyAlignment="1">
      <alignment horizontal="center"/>
    </xf>
    <xf numFmtId="0" fontId="10" fillId="0" borderId="2" xfId="11" applyFont="1" applyFill="1" applyBorder="1" applyAlignment="1">
      <alignment horizontal="center"/>
    </xf>
    <xf numFmtId="0" fontId="10" fillId="0" borderId="2" xfId="11" applyFont="1" applyFill="1" applyBorder="1" applyAlignment="1">
      <alignment horizontal="right"/>
    </xf>
    <xf numFmtId="168" fontId="12" fillId="0" borderId="2" xfId="11" applyNumberFormat="1" applyFont="1" applyFill="1" applyBorder="1" applyAlignment="1">
      <alignment horizontal="center" vertical="center"/>
    </xf>
    <xf numFmtId="168" fontId="12" fillId="0" borderId="2" xfId="11" applyNumberFormat="1" applyFont="1" applyFill="1" applyBorder="1" applyAlignment="1">
      <alignment horizontal="center" vertical="center" wrapText="1"/>
    </xf>
    <xf numFmtId="168" fontId="44" fillId="0" borderId="2" xfId="11" applyNumberFormat="1" applyFont="1" applyFill="1" applyBorder="1" applyAlignment="1">
      <alignment horizontal="center" vertical="center"/>
    </xf>
    <xf numFmtId="168" fontId="44" fillId="0" borderId="2" xfId="11" applyNumberFormat="1" applyFont="1" applyFill="1" applyBorder="1" applyAlignment="1">
      <alignment horizontal="center" vertical="center" wrapText="1"/>
    </xf>
    <xf numFmtId="178" fontId="44" fillId="0" borderId="2" xfId="11" applyNumberFormat="1" applyFont="1" applyFill="1" applyBorder="1" applyAlignment="1">
      <alignment horizontal="center" wrapText="1"/>
    </xf>
    <xf numFmtId="178" fontId="12" fillId="0" borderId="2" xfId="11" applyNumberFormat="1" applyFont="1" applyFill="1" applyBorder="1" applyAlignment="1">
      <alignment horizontal="center" wrapText="1"/>
    </xf>
    <xf numFmtId="168" fontId="12" fillId="0" borderId="2" xfId="11" applyNumberFormat="1" applyFont="1" applyFill="1" applyBorder="1" applyAlignment="1">
      <alignment horizontal="center" wrapText="1"/>
    </xf>
    <xf numFmtId="168" fontId="44" fillId="0" borderId="2" xfId="11" applyNumberFormat="1" applyFont="1" applyFill="1" applyBorder="1" applyAlignment="1">
      <alignment horizontal="center" wrapText="1"/>
    </xf>
    <xf numFmtId="0" fontId="185" fillId="0" borderId="2" xfId="0" applyFont="1" applyBorder="1" applyAlignment="1">
      <alignment horizontal="center" vertical="center"/>
    </xf>
    <xf numFmtId="179" fontId="58" fillId="0" borderId="2" xfId="11" applyNumberFormat="1" applyFont="1" applyFill="1" applyBorder="1" applyAlignment="1">
      <alignment horizontal="center" wrapText="1"/>
    </xf>
    <xf numFmtId="179" fontId="23" fillId="0" borderId="2" xfId="11" applyNumberFormat="1" applyFont="1" applyFill="1" applyBorder="1" applyAlignment="1">
      <alignment horizontal="center" wrapText="1"/>
    </xf>
    <xf numFmtId="0" fontId="71" fillId="0" borderId="2" xfId="0" applyFont="1" applyBorder="1" applyAlignment="1">
      <alignment horizontal="center" vertical="center"/>
    </xf>
    <xf numFmtId="1" fontId="10" fillId="0" borderId="33" xfId="0" applyNumberFormat="1" applyFont="1" applyBorder="1" applyAlignment="1">
      <alignment horizontal="center" vertical="center"/>
    </xf>
    <xf numFmtId="0" fontId="71" fillId="0" borderId="8" xfId="0" applyFont="1" applyBorder="1" applyAlignment="1">
      <alignment horizontal="center" vertical="center"/>
    </xf>
    <xf numFmtId="0" fontId="34" fillId="0" borderId="3" xfId="0" applyFont="1" applyBorder="1" applyAlignment="1">
      <alignment horizontal="center" vertical="center" wrapText="1"/>
    </xf>
    <xf numFmtId="0" fontId="10" fillId="0" borderId="46" xfId="0" applyFont="1" applyBorder="1" applyAlignment="1">
      <alignment horizontal="justify" vertical="center"/>
    </xf>
    <xf numFmtId="0" fontId="10" fillId="0" borderId="46" xfId="0" applyFont="1" applyBorder="1" applyAlignment="1">
      <alignment horizontal="justify" vertical="center" wrapText="1"/>
    </xf>
    <xf numFmtId="1" fontId="9" fillId="0" borderId="2" xfId="0" applyNumberFormat="1" applyFont="1" applyBorder="1" applyAlignment="1">
      <alignment horizontal="center" vertical="center"/>
    </xf>
    <xf numFmtId="9" fontId="9" fillId="0" borderId="2" xfId="1" applyFont="1" applyFill="1" applyBorder="1" applyAlignment="1">
      <alignment horizontal="center" vertical="center"/>
    </xf>
    <xf numFmtId="177" fontId="9" fillId="0" borderId="2" xfId="39" applyNumberFormat="1" applyFont="1" applyBorder="1" applyAlignment="1">
      <alignment horizontal="center" vertical="center"/>
    </xf>
    <xf numFmtId="1" fontId="10" fillId="0" borderId="2" xfId="39" applyNumberFormat="1" applyFont="1" applyBorder="1" applyAlignment="1">
      <alignment horizontal="center" vertical="center"/>
    </xf>
    <xf numFmtId="1" fontId="9" fillId="0" borderId="2" xfId="39" applyNumberFormat="1" applyFont="1" applyBorder="1" applyAlignment="1">
      <alignment horizontal="center" vertical="center"/>
    </xf>
    <xf numFmtId="168" fontId="36" fillId="0" borderId="2" xfId="39" applyNumberFormat="1" applyFont="1" applyBorder="1" applyAlignment="1">
      <alignment horizontal="center" vertical="center"/>
    </xf>
    <xf numFmtId="168" fontId="9" fillId="0" borderId="2" xfId="39" applyNumberFormat="1" applyFont="1" applyBorder="1" applyAlignment="1">
      <alignment horizontal="center" vertical="center"/>
    </xf>
    <xf numFmtId="1" fontId="9" fillId="0" borderId="2" xfId="39" applyNumberFormat="1" applyFont="1" applyBorder="1" applyAlignment="1">
      <alignment vertical="center"/>
    </xf>
    <xf numFmtId="1" fontId="10" fillId="0" borderId="2" xfId="39" applyNumberFormat="1" applyFont="1" applyBorder="1" applyAlignment="1">
      <alignment horizontal="right" vertical="center"/>
    </xf>
    <xf numFmtId="1" fontId="10" fillId="0" borderId="2" xfId="39" applyNumberFormat="1" applyFont="1" applyBorder="1" applyAlignment="1">
      <alignment vertical="center"/>
    </xf>
    <xf numFmtId="1" fontId="9" fillId="0" borderId="2" xfId="39" applyNumberFormat="1" applyFont="1" applyBorder="1" applyAlignment="1">
      <alignment horizontal="right" vertical="center"/>
    </xf>
    <xf numFmtId="168" fontId="71" fillId="0" borderId="9" xfId="0" applyNumberFormat="1" applyFont="1" applyBorder="1" applyAlignment="1">
      <alignment horizontal="center" vertical="center"/>
    </xf>
    <xf numFmtId="168" fontId="34" fillId="0" borderId="9" xfId="0" applyNumberFormat="1" applyFont="1" applyBorder="1" applyAlignment="1">
      <alignment horizontal="center" vertical="center"/>
    </xf>
    <xf numFmtId="168" fontId="71" fillId="0" borderId="9" xfId="0" applyNumberFormat="1" applyFont="1" applyBorder="1" applyAlignment="1">
      <alignment horizontal="center" vertical="center" wrapText="1"/>
    </xf>
    <xf numFmtId="168" fontId="58" fillId="0" borderId="33" xfId="0" applyNumberFormat="1" applyFont="1" applyBorder="1" applyAlignment="1">
      <alignment horizontal="center" vertical="center"/>
    </xf>
    <xf numFmtId="168" fontId="23" fillId="0" borderId="33" xfId="0" applyNumberFormat="1" applyFont="1" applyBorder="1" applyAlignment="1">
      <alignment horizontal="center" vertical="center"/>
    </xf>
    <xf numFmtId="0" fontId="129" fillId="0" borderId="16" xfId="45" applyFont="1" applyBorder="1" applyAlignment="1">
      <alignment horizontal="left" vertical="center" wrapText="1"/>
    </xf>
    <xf numFmtId="2" fontId="129" fillId="0" borderId="2" xfId="0" applyNumberFormat="1" applyFont="1" applyBorder="1" applyAlignment="1">
      <alignment horizontal="center"/>
    </xf>
    <xf numFmtId="2" fontId="129" fillId="0" borderId="33" xfId="0" applyNumberFormat="1" applyFont="1" applyBorder="1" applyAlignment="1">
      <alignment horizontal="center"/>
    </xf>
    <xf numFmtId="2" fontId="129" fillId="0" borderId="33" xfId="0" applyNumberFormat="1" applyFont="1" applyBorder="1" applyAlignment="1">
      <alignment horizontal="center" vertical="center"/>
    </xf>
    <xf numFmtId="0" fontId="129" fillId="0" borderId="16" xfId="0" applyFont="1" applyBorder="1" applyAlignment="1">
      <alignment vertical="center" wrapText="1"/>
    </xf>
    <xf numFmtId="0" fontId="56" fillId="0" borderId="16" xfId="0" applyFont="1" applyBorder="1" applyAlignment="1">
      <alignment horizontal="right" vertical="center"/>
    </xf>
    <xf numFmtId="2" fontId="56" fillId="0" borderId="2" xfId="0" applyNumberFormat="1" applyFont="1" applyBorder="1" applyAlignment="1">
      <alignment horizontal="center"/>
    </xf>
    <xf numFmtId="2" fontId="56" fillId="0" borderId="33" xfId="0" applyNumberFormat="1" applyFont="1" applyBorder="1" applyAlignment="1">
      <alignment horizontal="center"/>
    </xf>
    <xf numFmtId="0" fontId="129" fillId="0" borderId="16" xfId="0" applyFont="1" applyBorder="1" applyAlignment="1">
      <alignment vertical="center"/>
    </xf>
    <xf numFmtId="0" fontId="129" fillId="0" borderId="16" xfId="45" applyFont="1" applyBorder="1" applyAlignment="1">
      <alignment vertical="center" wrapText="1"/>
    </xf>
    <xf numFmtId="2" fontId="56" fillId="0" borderId="16" xfId="0" applyNumberFormat="1" applyFont="1" applyBorder="1" applyAlignment="1">
      <alignment horizontal="right" vertical="center"/>
    </xf>
    <xf numFmtId="185" fontId="129" fillId="0" borderId="2" xfId="0" applyNumberFormat="1" applyFont="1" applyBorder="1" applyAlignment="1">
      <alignment horizontal="center"/>
    </xf>
    <xf numFmtId="185" fontId="129" fillId="0" borderId="33" xfId="0" applyNumberFormat="1" applyFont="1" applyBorder="1" applyAlignment="1">
      <alignment horizontal="center"/>
    </xf>
    <xf numFmtId="0" fontId="56" fillId="0" borderId="16" xfId="0" applyFont="1" applyBorder="1" applyAlignment="1">
      <alignment horizontal="center" vertical="center"/>
    </xf>
    <xf numFmtId="2" fontId="56" fillId="0" borderId="9" xfId="0" applyNumberFormat="1" applyFont="1" applyBorder="1" applyAlignment="1">
      <alignment horizontal="center" vertical="center"/>
    </xf>
    <xf numFmtId="2" fontId="129" fillId="0" borderId="9" xfId="45" applyNumberFormat="1" applyFont="1" applyBorder="1" applyAlignment="1">
      <alignment horizontal="center" vertical="center" wrapText="1"/>
    </xf>
    <xf numFmtId="2" fontId="129" fillId="0" borderId="9" xfId="0" applyNumberFormat="1" applyFont="1" applyBorder="1" applyAlignment="1">
      <alignment horizontal="center" vertical="center" wrapText="1"/>
    </xf>
    <xf numFmtId="2" fontId="10" fillId="0" borderId="9" xfId="45" quotePrefix="1" applyNumberFormat="1" applyFont="1" applyBorder="1" applyAlignment="1">
      <alignment horizontal="center" vertical="center" wrapText="1"/>
    </xf>
    <xf numFmtId="2" fontId="129" fillId="0" borderId="9" xfId="0" applyNumberFormat="1" applyFont="1" applyBorder="1" applyAlignment="1">
      <alignment horizontal="center" vertical="center"/>
    </xf>
    <xf numFmtId="0" fontId="58" fillId="0" borderId="16" xfId="45" applyFont="1" applyBorder="1" applyAlignment="1">
      <alignment horizontal="left" vertical="center" wrapText="1"/>
    </xf>
    <xf numFmtId="2" fontId="58" fillId="0" borderId="2" xfId="45" applyNumberFormat="1" applyFont="1" applyBorder="1" applyAlignment="1">
      <alignment horizontal="center" vertical="center" wrapText="1"/>
    </xf>
    <xf numFmtId="186" fontId="58" fillId="0" borderId="2" xfId="45" applyNumberFormat="1" applyFont="1" applyBorder="1" applyAlignment="1">
      <alignment horizontal="center" vertical="center" wrapText="1"/>
    </xf>
    <xf numFmtId="1" fontId="58" fillId="0" borderId="16" xfId="46" applyNumberFormat="1" applyFont="1" applyBorder="1" applyAlignment="1">
      <alignment horizontal="left" vertical="center"/>
    </xf>
    <xf numFmtId="2" fontId="58" fillId="0" borderId="2" xfId="46" applyNumberFormat="1" applyFont="1" applyBorder="1" applyAlignment="1">
      <alignment horizontal="center" vertical="center"/>
    </xf>
    <xf numFmtId="186" fontId="58" fillId="0" borderId="2" xfId="46" applyNumberFormat="1" applyFont="1" applyBorder="1" applyAlignment="1">
      <alignment horizontal="center" vertical="center"/>
    </xf>
    <xf numFmtId="2" fontId="58" fillId="0" borderId="2" xfId="0" applyNumberFormat="1" applyFont="1" applyBorder="1" applyAlignment="1">
      <alignment horizontal="center" vertical="center" wrapText="1"/>
    </xf>
    <xf numFmtId="186" fontId="58" fillId="0" borderId="2" xfId="0" applyNumberFormat="1" applyFont="1" applyBorder="1" applyAlignment="1">
      <alignment horizontal="center" vertical="center" wrapText="1"/>
    </xf>
    <xf numFmtId="2" fontId="23" fillId="0" borderId="2" xfId="0" applyNumberFormat="1" applyFont="1" applyBorder="1" applyAlignment="1">
      <alignment horizontal="center" vertical="center"/>
    </xf>
    <xf numFmtId="2" fontId="58" fillId="0" borderId="2" xfId="0" applyNumberFormat="1" applyFont="1" applyBorder="1" applyAlignment="1">
      <alignment horizontal="center" vertical="center"/>
    </xf>
    <xf numFmtId="169" fontId="10" fillId="0" borderId="0" xfId="1" applyNumberFormat="1" applyFont="1"/>
    <xf numFmtId="0" fontId="23" fillId="0" borderId="2" xfId="44" applyFont="1" applyBorder="1" applyAlignment="1">
      <alignment horizontal="center" vertical="center" wrapText="1"/>
    </xf>
    <xf numFmtId="195" fontId="58" fillId="0" borderId="2" xfId="45" applyNumberFormat="1" applyFont="1" applyBorder="1" applyAlignment="1">
      <alignment horizontal="center" vertical="center" wrapText="1"/>
    </xf>
    <xf numFmtId="186" fontId="23" fillId="0" borderId="2" xfId="0" applyNumberFormat="1" applyFont="1" applyBorder="1" applyAlignment="1">
      <alignment horizontal="center" vertical="center"/>
    </xf>
    <xf numFmtId="1" fontId="10" fillId="0" borderId="2" xfId="44" applyNumberFormat="1" applyFont="1" applyBorder="1" applyAlignment="1">
      <alignment horizontal="center" vertical="center"/>
    </xf>
    <xf numFmtId="0" fontId="58" fillId="0" borderId="2" xfId="0" applyFont="1" applyBorder="1" applyAlignment="1">
      <alignment horizontal="center" vertical="center" wrapText="1"/>
    </xf>
    <xf numFmtId="2" fontId="23" fillId="0" borderId="2" xfId="0" applyNumberFormat="1" applyFont="1" applyBorder="1" applyAlignment="1">
      <alignment horizontal="center" vertical="center" wrapText="1"/>
    </xf>
    <xf numFmtId="2" fontId="23" fillId="0" borderId="44" xfId="0" applyNumberFormat="1" applyFont="1" applyBorder="1" applyAlignment="1">
      <alignment horizontal="center" vertical="center" wrapText="1"/>
    </xf>
    <xf numFmtId="0" fontId="23" fillId="0" borderId="44" xfId="0" applyFont="1" applyBorder="1" applyAlignment="1">
      <alignment horizontal="center" vertical="center" wrapText="1"/>
    </xf>
    <xf numFmtId="0" fontId="40" fillId="0" borderId="2" xfId="44" applyFont="1" applyBorder="1" applyAlignment="1">
      <alignment horizontal="center" vertical="center" wrapText="1"/>
    </xf>
    <xf numFmtId="0" fontId="48" fillId="0" borderId="45" xfId="0" applyFont="1" applyBorder="1" applyAlignment="1">
      <alignment horizontal="center" vertical="center"/>
    </xf>
    <xf numFmtId="0" fontId="10" fillId="0" borderId="25" xfId="0" applyFont="1" applyBorder="1" applyAlignment="1">
      <alignment horizontal="justify" vertical="center" wrapText="1"/>
    </xf>
    <xf numFmtId="0" fontId="56" fillId="5" borderId="5" xfId="34" applyFont="1" applyFill="1" applyBorder="1" applyAlignment="1">
      <alignment horizontal="center" vertical="center" wrapText="1"/>
    </xf>
    <xf numFmtId="0" fontId="15" fillId="5" borderId="2" xfId="0" applyFont="1" applyFill="1" applyBorder="1" applyAlignment="1">
      <alignment horizontal="right" vertical="center" wrapText="1"/>
    </xf>
    <xf numFmtId="0" fontId="15" fillId="5" borderId="0" xfId="0" applyFont="1" applyFill="1" applyAlignment="1">
      <alignment horizontal="left" vertical="center"/>
    </xf>
    <xf numFmtId="1" fontId="12" fillId="0" borderId="2" xfId="0" applyNumberFormat="1" applyFont="1" applyBorder="1" applyAlignment="1">
      <alignment horizontal="center"/>
    </xf>
    <xf numFmtId="0" fontId="7" fillId="0" borderId="6" xfId="0" applyFont="1" applyBorder="1" applyAlignment="1">
      <alignment horizontal="center" vertical="center"/>
    </xf>
    <xf numFmtId="1" fontId="12" fillId="0" borderId="6" xfId="0" applyNumberFormat="1" applyFont="1" applyBorder="1" applyAlignment="1">
      <alignment horizontal="center"/>
    </xf>
    <xf numFmtId="1" fontId="7" fillId="0" borderId="2" xfId="0" applyNumberFormat="1" applyFont="1" applyBorder="1" applyAlignment="1">
      <alignment horizontal="center" vertical="center"/>
    </xf>
    <xf numFmtId="1" fontId="7" fillId="0" borderId="6" xfId="0" applyNumberFormat="1" applyFont="1" applyBorder="1" applyAlignment="1">
      <alignment horizontal="center" vertical="center"/>
    </xf>
    <xf numFmtId="1" fontId="7" fillId="0" borderId="2" xfId="0" applyNumberFormat="1" applyFont="1" applyBorder="1" applyAlignment="1">
      <alignment horizontal="center"/>
    </xf>
    <xf numFmtId="14" fontId="3" fillId="14" borderId="2" xfId="55" applyNumberFormat="1" applyFont="1" applyFill="1" applyBorder="1" applyAlignment="1">
      <alignment horizontal="center" vertical="center"/>
    </xf>
    <xf numFmtId="14" fontId="1" fillId="0" borderId="0" xfId="55" applyNumberFormat="1" applyAlignment="1">
      <alignment vertical="center"/>
    </xf>
    <xf numFmtId="0" fontId="15" fillId="0" borderId="0" xfId="0" quotePrefix="1" applyFont="1" applyAlignment="1">
      <alignment wrapText="1"/>
    </xf>
    <xf numFmtId="168" fontId="10" fillId="0" borderId="2" xfId="0" applyNumberFormat="1" applyFont="1" applyBorder="1" applyAlignment="1">
      <alignment horizontal="center"/>
    </xf>
    <xf numFmtId="1" fontId="71" fillId="0" borderId="2" xfId="1" applyNumberFormat="1" applyFont="1" applyFill="1" applyBorder="1" applyAlignment="1">
      <alignment horizontal="center" vertical="center" wrapText="1"/>
    </xf>
    <xf numFmtId="168" fontId="71" fillId="0" borderId="2" xfId="1" applyNumberFormat="1" applyFont="1" applyFill="1" applyBorder="1" applyAlignment="1">
      <alignment horizontal="center" vertical="center" wrapText="1"/>
    </xf>
    <xf numFmtId="1" fontId="34" fillId="0" borderId="2" xfId="0" applyNumberFormat="1" applyFont="1" applyBorder="1" applyAlignment="1">
      <alignment horizontal="center" vertical="center" wrapText="1"/>
    </xf>
    <xf numFmtId="168" fontId="34" fillId="0" borderId="2" xfId="0" applyNumberFormat="1" applyFont="1" applyBorder="1" applyAlignment="1">
      <alignment horizontal="center" vertical="center" wrapText="1"/>
    </xf>
    <xf numFmtId="168" fontId="34" fillId="0" borderId="2" xfId="1" applyNumberFormat="1" applyFont="1" applyFill="1" applyBorder="1" applyAlignment="1">
      <alignment horizontal="center" vertical="center" wrapText="1"/>
    </xf>
    <xf numFmtId="1" fontId="130" fillId="0" borderId="2" xfId="34" applyNumberFormat="1" applyFont="1" applyBorder="1" applyAlignment="1">
      <alignment horizontal="center" vertical="center" wrapText="1"/>
    </xf>
    <xf numFmtId="168" fontId="130" fillId="0" borderId="2" xfId="34" applyNumberFormat="1" applyFont="1" applyBorder="1" applyAlignment="1">
      <alignment horizontal="center" vertical="center" wrapText="1"/>
    </xf>
    <xf numFmtId="168" fontId="130" fillId="0" borderId="2" xfId="1" applyNumberFormat="1" applyFont="1" applyFill="1" applyBorder="1" applyAlignment="1">
      <alignment horizontal="center" vertical="center" wrapText="1"/>
    </xf>
    <xf numFmtId="1" fontId="33" fillId="0" borderId="2" xfId="34" applyNumberFormat="1" applyFont="1" applyBorder="1" applyAlignment="1">
      <alignment horizontal="center" vertical="center" wrapText="1"/>
    </xf>
    <xf numFmtId="168" fontId="33" fillId="0" borderId="2" xfId="34" applyNumberFormat="1" applyFont="1" applyBorder="1" applyAlignment="1">
      <alignment horizontal="center" vertical="center" wrapText="1"/>
    </xf>
    <xf numFmtId="168" fontId="33" fillId="0" borderId="2" xfId="1" applyNumberFormat="1" applyFont="1" applyFill="1" applyBorder="1" applyAlignment="1">
      <alignment horizontal="center" vertical="center" wrapText="1"/>
    </xf>
    <xf numFmtId="0" fontId="188" fillId="0" borderId="0" xfId="0" applyFont="1" applyAlignment="1">
      <alignment horizontal="left" vertical="center" wrapText="1" indent="2" readingOrder="1"/>
    </xf>
    <xf numFmtId="0" fontId="172" fillId="0" borderId="0" xfId="0" applyFont="1" applyAlignment="1">
      <alignment horizontal="left" vertical="center" wrapText="1" readingOrder="1"/>
    </xf>
    <xf numFmtId="168" fontId="15" fillId="0" borderId="2" xfId="0" applyNumberFormat="1" applyFont="1" applyBorder="1" applyAlignment="1">
      <alignment horizontal="center" vertical="center" wrapText="1"/>
    </xf>
    <xf numFmtId="168" fontId="36" fillId="0" borderId="33" xfId="0" applyNumberFormat="1" applyFont="1" applyBorder="1" applyAlignment="1">
      <alignment horizontal="center" vertical="center" wrapText="1"/>
    </xf>
    <xf numFmtId="0" fontId="192" fillId="5" borderId="0" xfId="0" applyFont="1" applyFill="1" applyAlignment="1">
      <alignment horizontal="justify" vertical="center"/>
    </xf>
    <xf numFmtId="0" fontId="186" fillId="0" borderId="0" xfId="34" applyFont="1" applyAlignment="1">
      <alignment horizontal="left" vertical="center" wrapText="1"/>
    </xf>
    <xf numFmtId="0" fontId="176" fillId="0" borderId="0" xfId="34" applyFont="1" applyAlignment="1">
      <alignment horizontal="left" vertical="center" wrapText="1"/>
    </xf>
    <xf numFmtId="0" fontId="176" fillId="0" borderId="21" xfId="34" applyFont="1" applyBorder="1" applyAlignment="1">
      <alignment horizontal="left" vertical="center" wrapText="1"/>
    </xf>
    <xf numFmtId="0" fontId="195" fillId="0" borderId="0" xfId="34" applyFont="1" applyAlignment="1">
      <alignment horizontal="left" vertical="center" wrapText="1"/>
    </xf>
    <xf numFmtId="0" fontId="195" fillId="0" borderId="21" xfId="34" applyFont="1" applyBorder="1" applyAlignment="1">
      <alignment horizontal="left" vertical="center" wrapText="1"/>
    </xf>
    <xf numFmtId="0" fontId="193" fillId="0" borderId="0" xfId="34" applyFont="1" applyAlignment="1">
      <alignment horizontal="left" vertical="center" wrapText="1"/>
    </xf>
    <xf numFmtId="0" fontId="193" fillId="0" borderId="21" xfId="34" applyFont="1" applyBorder="1" applyAlignment="1">
      <alignment horizontal="left" vertical="center" wrapText="1"/>
    </xf>
    <xf numFmtId="0" fontId="186" fillId="0" borderId="21" xfId="34" applyFont="1" applyBorder="1" applyAlignment="1">
      <alignment horizontal="left" vertical="center" wrapText="1"/>
    </xf>
    <xf numFmtId="0" fontId="10" fillId="5" borderId="7" xfId="0" applyFont="1" applyFill="1" applyBorder="1" applyAlignment="1">
      <alignment horizontal="center" vertical="center"/>
    </xf>
    <xf numFmtId="0" fontId="10" fillId="5" borderId="8" xfId="0" applyFont="1" applyFill="1" applyBorder="1" applyAlignment="1">
      <alignment horizontal="center" vertical="center"/>
    </xf>
    <xf numFmtId="195" fontId="13" fillId="5" borderId="32" xfId="0" applyNumberFormat="1" applyFont="1" applyFill="1" applyBorder="1" applyAlignment="1">
      <alignment horizontal="center" vertical="center"/>
    </xf>
    <xf numFmtId="2" fontId="15" fillId="5" borderId="2" xfId="0" applyNumberFormat="1" applyFont="1" applyFill="1" applyBorder="1" applyAlignment="1">
      <alignment horizontal="center" vertical="center"/>
    </xf>
    <xf numFmtId="0" fontId="9" fillId="5" borderId="46" xfId="0" applyFont="1" applyFill="1" applyBorder="1" applyAlignment="1">
      <alignment horizontal="justify" vertical="center"/>
    </xf>
    <xf numFmtId="0" fontId="10" fillId="5" borderId="46" xfId="0" applyFont="1" applyFill="1" applyBorder="1" applyAlignment="1">
      <alignment horizontal="justify" vertical="center"/>
    </xf>
    <xf numFmtId="0" fontId="10" fillId="5" borderId="25" xfId="0" applyFont="1" applyFill="1" applyBorder="1" applyAlignment="1">
      <alignment horizontal="justify" vertical="center"/>
    </xf>
    <xf numFmtId="0" fontId="133" fillId="0" borderId="2" xfId="0" applyFont="1" applyBorder="1" applyAlignment="1">
      <alignment horizontal="center" vertical="center"/>
    </xf>
    <xf numFmtId="0" fontId="135" fillId="0" borderId="2" xfId="0" applyFont="1" applyBorder="1" applyAlignment="1">
      <alignment horizontal="center" vertical="center" wrapText="1"/>
    </xf>
    <xf numFmtId="168" fontId="135" fillId="0" borderId="2" xfId="0" applyNumberFormat="1" applyFont="1" applyBorder="1" applyAlignment="1">
      <alignment horizontal="center" vertical="center" wrapText="1"/>
    </xf>
    <xf numFmtId="168" fontId="133" fillId="5" borderId="2" xfId="0" applyNumberFormat="1" applyFont="1" applyFill="1" applyBorder="1" applyAlignment="1">
      <alignment horizontal="center" vertical="center" wrapText="1"/>
    </xf>
    <xf numFmtId="176" fontId="133" fillId="0" borderId="2" xfId="3" applyNumberFormat="1" applyFont="1" applyBorder="1" applyAlignment="1">
      <alignment horizontal="center" vertical="center" wrapText="1"/>
    </xf>
    <xf numFmtId="172" fontId="133" fillId="0" borderId="2" xfId="3" applyNumberFormat="1" applyFont="1" applyBorder="1" applyAlignment="1">
      <alignment vertical="center" wrapText="1"/>
    </xf>
    <xf numFmtId="0" fontId="133" fillId="5" borderId="2" xfId="0" applyFont="1" applyFill="1" applyBorder="1" applyAlignment="1">
      <alignment horizontal="center" vertical="center" wrapText="1"/>
    </xf>
    <xf numFmtId="166" fontId="133" fillId="0" borderId="2" xfId="3" quotePrefix="1" applyNumberFormat="1" applyFont="1" applyBorder="1" applyAlignment="1">
      <alignment horizontal="center" vertical="center" wrapText="1"/>
    </xf>
    <xf numFmtId="167" fontId="133" fillId="0" borderId="2" xfId="3" quotePrefix="1" applyNumberFormat="1" applyFont="1" applyBorder="1" applyAlignment="1">
      <alignment horizontal="center" vertical="center" wrapText="1"/>
    </xf>
    <xf numFmtId="0" fontId="142" fillId="5" borderId="2" xfId="0" applyFont="1" applyFill="1" applyBorder="1" applyAlignment="1">
      <alignment horizontal="center" vertical="center" wrapText="1"/>
    </xf>
    <xf numFmtId="0" fontId="143" fillId="0" borderId="2" xfId="0" applyFont="1" applyBorder="1" applyAlignment="1">
      <alignment horizontal="center" vertical="center" wrapText="1"/>
    </xf>
    <xf numFmtId="168" fontId="143" fillId="0" borderId="2" xfId="0" applyNumberFormat="1" applyFont="1" applyBorder="1" applyAlignment="1">
      <alignment horizontal="center" vertical="center" wrapText="1"/>
    </xf>
    <xf numFmtId="168" fontId="142" fillId="0" borderId="2" xfId="4" applyNumberFormat="1" applyFont="1" applyBorder="1" applyAlignment="1">
      <alignment horizontal="center" vertical="center" wrapText="1"/>
    </xf>
    <xf numFmtId="168" fontId="142" fillId="0" borderId="2" xfId="4" quotePrefix="1" applyNumberFormat="1" applyFont="1" applyBorder="1" applyAlignment="1">
      <alignment horizontal="center" vertical="center" wrapText="1"/>
    </xf>
    <xf numFmtId="170" fontId="133" fillId="5" borderId="2" xfId="3" applyNumberFormat="1" applyFont="1" applyFill="1" applyBorder="1" applyAlignment="1">
      <alignment horizontal="center" vertical="center" wrapText="1"/>
    </xf>
    <xf numFmtId="174" fontId="133" fillId="0" borderId="2" xfId="6" applyNumberFormat="1" applyFont="1" applyFill="1" applyBorder="1" applyAlignment="1">
      <alignment horizontal="center" vertical="center" wrapText="1"/>
    </xf>
    <xf numFmtId="173" fontId="133" fillId="0" borderId="2" xfId="0" applyNumberFormat="1" applyFont="1" applyBorder="1" applyAlignment="1">
      <alignment horizontal="center" vertical="center" wrapText="1"/>
    </xf>
    <xf numFmtId="165" fontId="133" fillId="0" borderId="2" xfId="6" applyFont="1" applyFill="1" applyBorder="1" applyAlignment="1">
      <alignment horizontal="center" vertical="center" wrapText="1"/>
    </xf>
    <xf numFmtId="0" fontId="15" fillId="5" borderId="2" xfId="0" applyFont="1" applyFill="1" applyBorder="1" applyAlignment="1">
      <alignment horizontal="left" vertical="center" wrapText="1" indent="1"/>
    </xf>
    <xf numFmtId="168" fontId="131" fillId="5" borderId="2" xfId="1" applyNumberFormat="1" applyFont="1" applyFill="1" applyBorder="1" applyAlignment="1">
      <alignment horizontal="center" vertical="center"/>
    </xf>
    <xf numFmtId="0" fontId="136" fillId="5" borderId="2" xfId="0" applyFont="1" applyFill="1" applyBorder="1" applyAlignment="1">
      <alignment horizontal="center" vertical="center" textRotation="90" wrapText="1"/>
    </xf>
    <xf numFmtId="49" fontId="7" fillId="5" borderId="2" xfId="0" applyNumberFormat="1" applyFont="1" applyFill="1" applyBorder="1" applyAlignment="1">
      <alignment horizontal="center" vertical="center"/>
    </xf>
    <xf numFmtId="0" fontId="7" fillId="5" borderId="20" xfId="0" applyFont="1" applyFill="1" applyBorder="1" applyAlignment="1">
      <alignment vertical="center" wrapText="1"/>
    </xf>
    <xf numFmtId="49" fontId="13" fillId="5" borderId="5" xfId="0" applyNumberFormat="1" applyFont="1" applyFill="1" applyBorder="1" applyAlignment="1">
      <alignment horizontal="center" vertical="center" wrapText="1"/>
    </xf>
    <xf numFmtId="0" fontId="198" fillId="5" borderId="2" xfId="0" applyFont="1" applyFill="1" applyBorder="1" applyAlignment="1">
      <alignment horizontal="center" vertical="center" wrapText="1"/>
    </xf>
    <xf numFmtId="49" fontId="13" fillId="5" borderId="2" xfId="0" applyNumberFormat="1" applyFont="1" applyFill="1" applyBorder="1" applyAlignment="1">
      <alignment horizontal="center" vertical="center"/>
    </xf>
    <xf numFmtId="0" fontId="7" fillId="5" borderId="2" xfId="0" applyFont="1" applyFill="1" applyBorder="1" applyAlignment="1">
      <alignment horizontal="center"/>
    </xf>
    <xf numFmtId="0" fontId="7" fillId="5" borderId="9" xfId="0" applyFont="1" applyFill="1" applyBorder="1" applyAlignment="1">
      <alignment horizontal="center" vertical="center" wrapText="1"/>
    </xf>
    <xf numFmtId="49" fontId="13" fillId="5" borderId="2" xfId="0" applyNumberFormat="1" applyFont="1" applyFill="1" applyBorder="1" applyAlignment="1">
      <alignment horizontal="center" vertical="center" wrapText="1"/>
    </xf>
    <xf numFmtId="49" fontId="47" fillId="5" borderId="0" xfId="4" applyNumberFormat="1" applyFont="1" applyFill="1" applyAlignment="1">
      <alignment horizontal="center" vertical="center" wrapText="1"/>
    </xf>
    <xf numFmtId="49" fontId="12" fillId="5" borderId="0" xfId="0" applyNumberFormat="1" applyFont="1" applyFill="1" applyAlignment="1">
      <alignment vertical="center"/>
    </xf>
    <xf numFmtId="0" fontId="200" fillId="5" borderId="2" xfId="0" applyFont="1" applyFill="1" applyBorder="1" applyAlignment="1">
      <alignment vertical="center" wrapText="1"/>
    </xf>
    <xf numFmtId="0" fontId="200" fillId="5" borderId="2" xfId="0" applyFont="1" applyFill="1" applyBorder="1" applyAlignment="1">
      <alignment horizontal="center" vertical="center" wrapText="1"/>
    </xf>
    <xf numFmtId="0" fontId="201" fillId="5" borderId="2" xfId="0" applyFont="1" applyFill="1" applyBorder="1" applyAlignment="1">
      <alignment vertical="center" wrapText="1"/>
    </xf>
    <xf numFmtId="0" fontId="201" fillId="5" borderId="2" xfId="0" applyFont="1" applyFill="1" applyBorder="1" applyAlignment="1">
      <alignment horizontal="center" vertical="center" wrapText="1"/>
    </xf>
    <xf numFmtId="0" fontId="3" fillId="0" borderId="2" xfId="0" applyFont="1" applyBorder="1" applyAlignment="1">
      <alignment horizontal="center" vertical="center"/>
    </xf>
    <xf numFmtId="168" fontId="15" fillId="0" borderId="2" xfId="4" applyNumberFormat="1" applyFont="1" applyBorder="1" applyAlignment="1">
      <alignment horizontal="center" vertical="center" wrapText="1"/>
    </xf>
    <xf numFmtId="169" fontId="15" fillId="0" borderId="2" xfId="1" applyNumberFormat="1" applyFont="1" applyFill="1" applyBorder="1" applyAlignment="1">
      <alignment horizontal="center" vertical="center" wrapText="1"/>
    </xf>
    <xf numFmtId="169" fontId="15" fillId="5" borderId="2" xfId="1" applyNumberFormat="1" applyFont="1" applyFill="1" applyBorder="1" applyAlignment="1">
      <alignment horizontal="center" vertical="center" wrapText="1"/>
    </xf>
    <xf numFmtId="1" fontId="12" fillId="0" borderId="6" xfId="0" applyNumberFormat="1" applyFont="1" applyBorder="1" applyAlignment="1">
      <alignment horizontal="center" vertical="center"/>
    </xf>
    <xf numFmtId="0" fontId="203" fillId="5" borderId="2" xfId="20" applyFont="1" applyFill="1" applyBorder="1" applyAlignment="1">
      <alignment horizontal="center" vertical="center" wrapText="1"/>
    </xf>
    <xf numFmtId="0" fontId="185" fillId="5" borderId="2" xfId="20" applyFont="1" applyFill="1" applyBorder="1" applyAlignment="1">
      <alignment horizontal="center" vertical="center" wrapText="1"/>
    </xf>
    <xf numFmtId="0" fontId="185" fillId="5" borderId="2" xfId="16" applyFont="1" applyFill="1" applyBorder="1" applyAlignment="1">
      <alignment horizontal="center" vertical="center" wrapText="1"/>
    </xf>
    <xf numFmtId="0" fontId="185" fillId="5" borderId="2" xfId="3" applyFont="1" applyFill="1" applyBorder="1" applyAlignment="1">
      <alignment horizontal="center" vertical="center" wrapText="1"/>
    </xf>
    <xf numFmtId="168" fontId="56" fillId="5" borderId="16" xfId="16" applyNumberFormat="1" applyFont="1" applyFill="1" applyBorder="1" applyAlignment="1">
      <alignment horizontal="center" vertical="center" wrapText="1"/>
    </xf>
    <xf numFmtId="168" fontId="56" fillId="5" borderId="2" xfId="33" applyNumberFormat="1" applyFont="1" applyFill="1" applyBorder="1" applyAlignment="1">
      <alignment horizontal="center" vertical="center" wrapText="1"/>
    </xf>
    <xf numFmtId="1" fontId="56" fillId="5" borderId="2" xfId="33" applyNumberFormat="1" applyFont="1" applyFill="1" applyBorder="1" applyAlignment="1">
      <alignment horizontal="center" vertical="center" wrapText="1"/>
    </xf>
    <xf numFmtId="168" fontId="33" fillId="5" borderId="2" xfId="33" applyNumberFormat="1" applyFont="1" applyFill="1" applyBorder="1" applyAlignment="1">
      <alignment horizontal="center" vertical="center" wrapText="1"/>
    </xf>
    <xf numFmtId="168" fontId="56" fillId="5" borderId="2" xfId="16" applyNumberFormat="1" applyFont="1" applyFill="1" applyBorder="1" applyAlignment="1">
      <alignment horizontal="center" vertical="center" wrapText="1"/>
    </xf>
    <xf numFmtId="168" fontId="56" fillId="5" borderId="3" xfId="16" applyNumberFormat="1" applyFont="1" applyFill="1" applyBorder="1" applyAlignment="1">
      <alignment horizontal="center" vertical="center" wrapText="1"/>
    </xf>
    <xf numFmtId="0" fontId="129" fillId="5" borderId="16" xfId="0" applyFont="1" applyFill="1" applyBorder="1" applyAlignment="1">
      <alignment horizontal="center" vertical="center"/>
    </xf>
    <xf numFmtId="0" fontId="129" fillId="5" borderId="2" xfId="0" applyFont="1" applyFill="1" applyBorder="1" applyAlignment="1">
      <alignment horizontal="center" vertical="center" wrapText="1"/>
    </xf>
    <xf numFmtId="1" fontId="129" fillId="5" borderId="2" xfId="0" applyNumberFormat="1" applyFont="1" applyFill="1" applyBorder="1" applyAlignment="1">
      <alignment horizontal="center" vertical="center"/>
    </xf>
    <xf numFmtId="2" fontId="129" fillId="5" borderId="2" xfId="0" applyNumberFormat="1" applyFont="1" applyFill="1" applyBorder="1" applyAlignment="1">
      <alignment horizontal="center" vertical="center"/>
    </xf>
    <xf numFmtId="0" fontId="129" fillId="5" borderId="2" xfId="0" applyFont="1" applyFill="1" applyBorder="1" applyAlignment="1">
      <alignment horizontal="center" vertical="center"/>
    </xf>
    <xf numFmtId="169" fontId="129" fillId="5" borderId="2" xfId="1" applyNumberFormat="1" applyFont="1" applyFill="1" applyBorder="1" applyAlignment="1">
      <alignment horizontal="center" vertical="center"/>
    </xf>
    <xf numFmtId="10" fontId="129" fillId="5" borderId="2" xfId="1" applyNumberFormat="1" applyFont="1" applyFill="1" applyBorder="1" applyAlignment="1">
      <alignment horizontal="center" vertical="center"/>
    </xf>
    <xf numFmtId="0" fontId="129" fillId="5" borderId="16" xfId="0" applyFont="1" applyFill="1" applyBorder="1" applyAlignment="1">
      <alignment horizontal="center"/>
    </xf>
    <xf numFmtId="0" fontId="129" fillId="5" borderId="3" xfId="0" applyFont="1" applyFill="1" applyBorder="1" applyAlignment="1">
      <alignment horizontal="center" vertical="center"/>
    </xf>
    <xf numFmtId="2" fontId="129" fillId="5" borderId="3" xfId="0" applyNumberFormat="1" applyFont="1" applyFill="1" applyBorder="1" applyAlignment="1">
      <alignment horizontal="center" vertical="center"/>
    </xf>
    <xf numFmtId="0" fontId="129" fillId="5" borderId="5" xfId="0" applyFont="1" applyFill="1" applyBorder="1" applyAlignment="1">
      <alignment horizontal="center" vertical="center"/>
    </xf>
    <xf numFmtId="2" fontId="129" fillId="5" borderId="5" xfId="0" applyNumberFormat="1" applyFont="1" applyFill="1" applyBorder="1" applyAlignment="1">
      <alignment horizontal="center" vertical="center"/>
    </xf>
    <xf numFmtId="2" fontId="129" fillId="5" borderId="6" xfId="0" applyNumberFormat="1" applyFont="1" applyFill="1" applyBorder="1" applyAlignment="1">
      <alignment horizontal="center" vertical="center"/>
    </xf>
    <xf numFmtId="10" fontId="129" fillId="5" borderId="6" xfId="1" applyNumberFormat="1" applyFont="1" applyFill="1" applyBorder="1" applyAlignment="1">
      <alignment horizontal="center" vertical="center"/>
    </xf>
    <xf numFmtId="0" fontId="129" fillId="5" borderId="38" xfId="0" applyFont="1" applyFill="1" applyBorder="1" applyAlignment="1">
      <alignment horizontal="center" vertical="center"/>
    </xf>
    <xf numFmtId="10" fontId="129" fillId="5" borderId="5" xfId="1" applyNumberFormat="1" applyFont="1" applyFill="1" applyBorder="1" applyAlignment="1">
      <alignment horizontal="center" vertical="center"/>
    </xf>
    <xf numFmtId="2" fontId="129" fillId="5" borderId="2" xfId="0" applyNumberFormat="1" applyFont="1" applyFill="1" applyBorder="1" applyAlignment="1">
      <alignment horizontal="center" vertical="center" wrapText="1"/>
    </xf>
    <xf numFmtId="9" fontId="129" fillId="5" borderId="5" xfId="1" applyFont="1" applyFill="1" applyBorder="1" applyAlignment="1">
      <alignment horizontal="center" vertical="center"/>
    </xf>
    <xf numFmtId="2" fontId="153" fillId="5" borderId="2" xfId="0" applyNumberFormat="1" applyFont="1" applyFill="1" applyBorder="1" applyAlignment="1">
      <alignment horizontal="center" vertical="center" wrapText="1"/>
    </xf>
    <xf numFmtId="169" fontId="153" fillId="5" borderId="2" xfId="1" applyNumberFormat="1" applyFont="1" applyFill="1" applyBorder="1" applyAlignment="1">
      <alignment horizontal="center" vertical="center"/>
    </xf>
    <xf numFmtId="169" fontId="129" fillId="5" borderId="2" xfId="1" applyNumberFormat="1" applyFont="1" applyFill="1" applyBorder="1" applyAlignment="1">
      <alignment horizontal="center" vertical="center" wrapText="1"/>
    </xf>
    <xf numFmtId="2" fontId="129" fillId="5" borderId="2" xfId="1" applyNumberFormat="1" applyFont="1" applyFill="1" applyBorder="1" applyAlignment="1">
      <alignment horizontal="center" vertical="center"/>
    </xf>
    <xf numFmtId="2" fontId="129" fillId="5" borderId="2" xfId="1" applyNumberFormat="1" applyFont="1" applyFill="1" applyBorder="1" applyAlignment="1">
      <alignment horizontal="center" vertical="center" wrapText="1"/>
    </xf>
    <xf numFmtId="0" fontId="36" fillId="5" borderId="0" xfId="0" applyFont="1" applyFill="1" applyAlignment="1">
      <alignment horizontal="left" vertical="center"/>
    </xf>
    <xf numFmtId="0" fontId="0" fillId="5" borderId="0" xfId="0" applyFill="1" applyAlignment="1">
      <alignment horizontal="center" vertical="center"/>
    </xf>
    <xf numFmtId="0" fontId="0" fillId="5" borderId="0" xfId="0" applyFill="1" applyAlignment="1">
      <alignment horizontal="left" vertical="center"/>
    </xf>
    <xf numFmtId="0" fontId="147" fillId="5" borderId="0" xfId="0" applyFont="1" applyFill="1" applyAlignment="1">
      <alignment vertical="center" readingOrder="1"/>
    </xf>
    <xf numFmtId="0" fontId="56" fillId="5" borderId="0" xfId="0" applyFont="1" applyFill="1" applyAlignment="1">
      <alignment vertical="center" readingOrder="1"/>
    </xf>
    <xf numFmtId="0" fontId="35" fillId="5" borderId="0" xfId="0" applyFont="1" applyFill="1"/>
    <xf numFmtId="0" fontId="189" fillId="0" borderId="2" xfId="0" applyFont="1" applyBorder="1" applyAlignment="1">
      <alignment horizontal="justify" vertical="center" wrapText="1" readingOrder="1"/>
    </xf>
    <xf numFmtId="0" fontId="189" fillId="5" borderId="2" xfId="0" applyFont="1" applyFill="1" applyBorder="1" applyAlignment="1">
      <alignment horizontal="justify" vertical="center" wrapText="1" readingOrder="1"/>
    </xf>
    <xf numFmtId="0" fontId="190" fillId="5" borderId="2" xfId="0" applyFont="1" applyFill="1" applyBorder="1" applyAlignment="1">
      <alignment horizontal="justify" vertical="center" wrapText="1" readingOrder="1"/>
    </xf>
    <xf numFmtId="0" fontId="113" fillId="0" borderId="0" xfId="0" applyFont="1" applyAlignment="1">
      <alignment horizontal="center"/>
    </xf>
    <xf numFmtId="171" fontId="133" fillId="5" borderId="2" xfId="3" applyNumberFormat="1" applyFont="1" applyFill="1" applyBorder="1" applyAlignment="1">
      <alignment horizontal="center" vertical="center" wrapText="1"/>
    </xf>
    <xf numFmtId="168" fontId="133" fillId="5" borderId="2" xfId="6" applyNumberFormat="1" applyFont="1" applyFill="1" applyBorder="1" applyAlignment="1">
      <alignment horizontal="center" vertical="center" wrapText="1"/>
    </xf>
    <xf numFmtId="173" fontId="133" fillId="5" borderId="2" xfId="3" applyNumberFormat="1" applyFont="1" applyFill="1" applyBorder="1" applyAlignment="1">
      <alignment horizontal="center" vertical="center" wrapText="1"/>
    </xf>
    <xf numFmtId="175" fontId="133" fillId="5" borderId="2" xfId="6" applyNumberFormat="1" applyFont="1" applyFill="1" applyBorder="1" applyAlignment="1">
      <alignment horizontal="center" vertical="center" wrapText="1"/>
    </xf>
    <xf numFmtId="166" fontId="133" fillId="5" borderId="2" xfId="3" quotePrefix="1" applyNumberFormat="1" applyFont="1" applyFill="1" applyBorder="1" applyAlignment="1">
      <alignment horizontal="center" vertical="center" wrapText="1"/>
    </xf>
    <xf numFmtId="0" fontId="9" fillId="0" borderId="82" xfId="0" applyFont="1" applyBorder="1" applyAlignment="1">
      <alignment vertical="center"/>
    </xf>
    <xf numFmtId="0" fontId="9" fillId="5" borderId="82" xfId="0" applyFont="1" applyFill="1" applyBorder="1" applyAlignment="1">
      <alignment horizontal="justify" vertical="center"/>
    </xf>
    <xf numFmtId="0" fontId="9" fillId="5" borderId="82" xfId="0" applyFont="1" applyFill="1" applyBorder="1" applyAlignment="1">
      <alignment horizontal="left" vertical="center" indent="5"/>
    </xf>
    <xf numFmtId="0" fontId="1" fillId="5" borderId="2" xfId="82" applyFill="1" applyBorder="1" applyAlignment="1">
      <alignment horizontal="left" vertical="top"/>
    </xf>
    <xf numFmtId="0" fontId="1" fillId="5" borderId="2" xfId="82" applyFill="1" applyBorder="1" applyAlignment="1">
      <alignment horizontal="left" vertical="top" wrapText="1"/>
    </xf>
    <xf numFmtId="0" fontId="3" fillId="5" borderId="2" xfId="82" applyFont="1" applyFill="1" applyBorder="1" applyAlignment="1">
      <alignment horizontal="left" vertical="top"/>
    </xf>
    <xf numFmtId="2" fontId="1" fillId="5" borderId="2" xfId="82" applyNumberFormat="1" applyFill="1" applyBorder="1" applyAlignment="1">
      <alignment horizontal="right" vertical="top"/>
    </xf>
    <xf numFmtId="168" fontId="1" fillId="5" borderId="2" xfId="82" applyNumberFormat="1" applyFill="1" applyBorder="1" applyAlignment="1">
      <alignment horizontal="right" vertical="top"/>
    </xf>
    <xf numFmtId="0" fontId="209" fillId="21" borderId="2" xfId="82" applyFont="1" applyFill="1" applyBorder="1" applyAlignment="1">
      <alignment horizontal="center" vertical="top"/>
    </xf>
    <xf numFmtId="0" fontId="209" fillId="21" borderId="2" xfId="82" applyFont="1" applyFill="1" applyBorder="1" applyAlignment="1">
      <alignment horizontal="center" vertical="top" wrapText="1"/>
    </xf>
    <xf numFmtId="168" fontId="3" fillId="5" borderId="2" xfId="82" applyNumberFormat="1" applyFont="1" applyFill="1" applyBorder="1" applyAlignment="1">
      <alignment horizontal="right" vertical="top"/>
    </xf>
    <xf numFmtId="0" fontId="0" fillId="0" borderId="2" xfId="0" applyBorder="1" applyAlignment="1">
      <alignment horizontal="left" vertical="center"/>
    </xf>
    <xf numFmtId="0" fontId="0" fillId="0" borderId="2" xfId="0" applyBorder="1" applyAlignment="1">
      <alignment horizontal="center" vertical="center"/>
    </xf>
    <xf numFmtId="0" fontId="36" fillId="5" borderId="0" xfId="30" applyFont="1" applyFill="1" applyAlignment="1">
      <alignment vertical="center" wrapText="1"/>
    </xf>
    <xf numFmtId="2" fontId="15" fillId="5" borderId="2" xfId="31" applyNumberFormat="1" applyFont="1" applyFill="1" applyBorder="1" applyAlignment="1">
      <alignment horizontal="center" vertical="center"/>
    </xf>
    <xf numFmtId="0" fontId="15" fillId="5" borderId="2" xfId="31" applyFont="1" applyFill="1" applyBorder="1" applyAlignment="1">
      <alignment horizontal="left" vertical="center" wrapText="1"/>
    </xf>
    <xf numFmtId="0" fontId="57" fillId="5" borderId="2" xfId="0" applyFont="1" applyFill="1" applyBorder="1" applyAlignment="1">
      <alignment horizontal="justify" vertical="center" wrapText="1"/>
    </xf>
    <xf numFmtId="2" fontId="57" fillId="5" borderId="2" xfId="0" applyNumberFormat="1" applyFont="1" applyFill="1" applyBorder="1" applyAlignment="1">
      <alignment horizontal="center" vertical="center" wrapText="1"/>
    </xf>
    <xf numFmtId="0" fontId="57" fillId="5" borderId="2" xfId="0" applyFont="1" applyFill="1" applyBorder="1" applyAlignment="1">
      <alignment vertical="center" wrapText="1"/>
    </xf>
    <xf numFmtId="2" fontId="57" fillId="5" borderId="2" xfId="47" applyNumberFormat="1" applyFont="1" applyFill="1" applyBorder="1" applyAlignment="1">
      <alignment horizontal="center" vertical="center" wrapText="1"/>
    </xf>
    <xf numFmtId="0" fontId="57" fillId="5" borderId="2" xfId="31" applyFont="1" applyFill="1" applyBorder="1" applyAlignment="1">
      <alignment vertical="center" wrapText="1"/>
    </xf>
    <xf numFmtId="2" fontId="63" fillId="5" borderId="2" xfId="47" applyNumberFormat="1" applyFont="1" applyFill="1" applyBorder="1" applyAlignment="1">
      <alignment horizontal="center" vertical="center" wrapText="1"/>
    </xf>
    <xf numFmtId="0" fontId="63" fillId="5" borderId="2" xfId="31" applyFont="1" applyFill="1" applyBorder="1" applyAlignment="1">
      <alignment vertical="center" wrapText="1"/>
    </xf>
    <xf numFmtId="0" fontId="0" fillId="5" borderId="2" xfId="31" applyFont="1" applyFill="1" applyBorder="1" applyAlignment="1">
      <alignment vertical="center" wrapText="1"/>
    </xf>
    <xf numFmtId="2" fontId="0" fillId="5" borderId="2" xfId="47" applyNumberFormat="1" applyFont="1" applyFill="1" applyBorder="1" applyAlignment="1">
      <alignment horizontal="center" vertical="center" wrapText="1"/>
    </xf>
    <xf numFmtId="0" fontId="63" fillId="0" borderId="2" xfId="31" applyFont="1" applyBorder="1" applyAlignment="1">
      <alignment vertical="center" wrapText="1"/>
    </xf>
    <xf numFmtId="2" fontId="63" fillId="0" borderId="2" xfId="47" applyNumberFormat="1" applyFont="1" applyFill="1" applyBorder="1" applyAlignment="1">
      <alignment horizontal="center" vertical="center" wrapText="1"/>
    </xf>
    <xf numFmtId="49" fontId="63" fillId="0" borderId="2" xfId="31" applyNumberFormat="1" applyFont="1" applyBorder="1" applyAlignment="1">
      <alignment horizontal="left" vertical="center" wrapText="1"/>
    </xf>
    <xf numFmtId="0" fontId="113" fillId="5" borderId="10" xfId="0" applyFont="1" applyFill="1" applyBorder="1"/>
    <xf numFmtId="0" fontId="63" fillId="5" borderId="4" xfId="0" applyFont="1" applyFill="1" applyBorder="1"/>
    <xf numFmtId="0" fontId="113" fillId="5" borderId="0" xfId="35" applyFont="1" applyFill="1" applyAlignment="1">
      <alignment horizontal="center" vertical="center" wrapText="1"/>
    </xf>
    <xf numFmtId="0" fontId="113" fillId="5" borderId="2" xfId="35" applyFont="1" applyFill="1" applyBorder="1" applyAlignment="1">
      <alignment horizontal="left" vertical="center" wrapText="1"/>
    </xf>
    <xf numFmtId="0" fontId="113" fillId="5" borderId="2" xfId="35" applyFont="1" applyFill="1" applyBorder="1" applyAlignment="1">
      <alignment horizontal="center" vertical="center" wrapText="1"/>
    </xf>
    <xf numFmtId="0" fontId="63" fillId="5" borderId="2" xfId="35" applyFont="1" applyFill="1" applyBorder="1" applyAlignment="1">
      <alignment horizontal="left" vertical="center" wrapText="1"/>
    </xf>
    <xf numFmtId="0" fontId="63" fillId="5" borderId="2" xfId="35" applyFont="1" applyFill="1" applyBorder="1" applyAlignment="1">
      <alignment horizontal="center" vertical="center" wrapText="1"/>
    </xf>
    <xf numFmtId="49" fontId="0" fillId="5" borderId="0" xfId="35" applyNumberFormat="1" applyFont="1" applyFill="1" applyAlignment="1">
      <alignment vertical="center" wrapText="1"/>
    </xf>
    <xf numFmtId="0" fontId="0" fillId="5" borderId="0" xfId="0" applyFill="1" applyAlignment="1">
      <alignment wrapText="1"/>
    </xf>
    <xf numFmtId="0" fontId="0" fillId="5" borderId="0" xfId="0" applyFill="1" applyAlignment="1">
      <alignment horizontal="center" wrapText="1"/>
    </xf>
    <xf numFmtId="0" fontId="63" fillId="5" borderId="0" xfId="0" applyFont="1" applyFill="1" applyAlignment="1">
      <alignment horizontal="center" wrapText="1"/>
    </xf>
    <xf numFmtId="0" fontId="113" fillId="5" borderId="0" xfId="35" applyFont="1" applyFill="1" applyAlignment="1">
      <alignment vertical="center" wrapText="1"/>
    </xf>
    <xf numFmtId="0" fontId="113" fillId="5" borderId="2" xfId="35" applyFont="1" applyFill="1" applyBorder="1" applyAlignment="1">
      <alignment vertical="center" wrapText="1"/>
    </xf>
    <xf numFmtId="0" fontId="53" fillId="5" borderId="2" xfId="35" applyFont="1" applyFill="1" applyBorder="1" applyAlignment="1">
      <alignment horizontal="center" vertical="center" wrapText="1"/>
    </xf>
    <xf numFmtId="0" fontId="63" fillId="5" borderId="2" xfId="35" applyFont="1" applyFill="1" applyBorder="1" applyAlignment="1">
      <alignment vertical="center" wrapText="1"/>
    </xf>
    <xf numFmtId="0" fontId="211" fillId="5" borderId="2" xfId="35" applyFont="1" applyFill="1" applyBorder="1" applyAlignment="1">
      <alignment horizontal="center" vertical="center" wrapText="1"/>
    </xf>
    <xf numFmtId="0" fontId="0" fillId="0" borderId="0" xfId="0" applyAlignment="1">
      <alignment horizontal="center" wrapText="1"/>
    </xf>
    <xf numFmtId="0" fontId="3" fillId="5" borderId="2" xfId="51" applyFont="1" applyFill="1" applyBorder="1" applyAlignment="1">
      <alignment horizontal="left" vertical="center" wrapText="1"/>
    </xf>
    <xf numFmtId="0" fontId="0" fillId="5" borderId="2" xfId="0" applyFill="1" applyBorder="1" applyAlignment="1">
      <alignment horizontal="left" vertical="top" wrapText="1"/>
    </xf>
    <xf numFmtId="0" fontId="0" fillId="5" borderId="2" xfId="0" applyFill="1" applyBorder="1"/>
    <xf numFmtId="0" fontId="0" fillId="5" borderId="2" xfId="51" applyFont="1" applyFill="1" applyBorder="1" applyAlignment="1">
      <alignment horizontal="left" vertical="center" wrapText="1"/>
    </xf>
    <xf numFmtId="0" fontId="0" fillId="5" borderId="0" xfId="0" applyFill="1" applyAlignment="1">
      <alignment horizontal="center"/>
    </xf>
    <xf numFmtId="2" fontId="63" fillId="5" borderId="2" xfId="0" applyNumberFormat="1" applyFont="1" applyFill="1" applyBorder="1" applyAlignment="1">
      <alignment horizontal="center" vertical="center"/>
    </xf>
    <xf numFmtId="0" fontId="0" fillId="5" borderId="2" xfId="0" applyFill="1" applyBorder="1" applyAlignment="1">
      <alignment horizontal="left" vertical="center" wrapText="1"/>
    </xf>
    <xf numFmtId="0" fontId="0" fillId="5" borderId="2" xfId="0" applyFill="1" applyBorder="1" applyAlignment="1">
      <alignment vertical="center"/>
    </xf>
    <xf numFmtId="14" fontId="0" fillId="0" borderId="0" xfId="0" applyNumberFormat="1" applyAlignment="1">
      <alignment wrapText="1"/>
    </xf>
    <xf numFmtId="0" fontId="63" fillId="5" borderId="2" xfId="0" applyFont="1" applyFill="1" applyBorder="1" applyAlignment="1">
      <alignment wrapText="1"/>
    </xf>
    <xf numFmtId="165" fontId="63" fillId="5" borderId="2" xfId="63" applyFont="1" applyFill="1" applyBorder="1" applyAlignment="1">
      <alignment horizontal="center" wrapText="1"/>
    </xf>
    <xf numFmtId="165" fontId="0" fillId="0" borderId="2" xfId="63" applyFont="1" applyBorder="1"/>
    <xf numFmtId="204" fontId="63" fillId="0" borderId="2" xfId="0" applyNumberFormat="1" applyFont="1" applyBorder="1" applyAlignment="1">
      <alignment horizontal="center"/>
    </xf>
    <xf numFmtId="165" fontId="63" fillId="0" borderId="2" xfId="63" applyFont="1" applyBorder="1"/>
    <xf numFmtId="164" fontId="1" fillId="0" borderId="2" xfId="72" applyFont="1" applyBorder="1"/>
    <xf numFmtId="0" fontId="212" fillId="0" borderId="0" xfId="0" applyFont="1" applyAlignment="1">
      <alignment wrapText="1"/>
    </xf>
    <xf numFmtId="0" fontId="113" fillId="6" borderId="39" xfId="0" applyFont="1" applyFill="1" applyBorder="1" applyAlignment="1">
      <alignment horizontal="center" vertical="center"/>
    </xf>
    <xf numFmtId="0" fontId="113" fillId="6" borderId="39" xfId="0" applyFont="1" applyFill="1" applyBorder="1" applyAlignment="1">
      <alignment horizontal="center" vertical="center" wrapText="1"/>
    </xf>
    <xf numFmtId="0" fontId="63" fillId="5" borderId="5" xfId="0" applyFont="1" applyFill="1" applyBorder="1" applyAlignment="1">
      <alignment vertical="center" wrapText="1"/>
    </xf>
    <xf numFmtId="0" fontId="63" fillId="5" borderId="2" xfId="0" applyFont="1" applyFill="1" applyBorder="1" applyAlignment="1">
      <alignment vertical="center"/>
    </xf>
    <xf numFmtId="2" fontId="63" fillId="0" borderId="2" xfId="0" applyNumberFormat="1" applyFont="1" applyBorder="1" applyAlignment="1">
      <alignment horizontal="center" vertical="center"/>
    </xf>
    <xf numFmtId="0" fontId="63" fillId="5" borderId="2" xfId="0" applyFont="1" applyFill="1" applyBorder="1" applyAlignment="1">
      <alignment vertical="center" wrapText="1"/>
    </xf>
    <xf numFmtId="0" fontId="113" fillId="5" borderId="0" xfId="0" applyFont="1" applyFill="1" applyAlignment="1">
      <alignment vertical="center"/>
    </xf>
    <xf numFmtId="0" fontId="138" fillId="5" borderId="12" xfId="50" applyFont="1" applyFill="1" applyBorder="1" applyAlignment="1" applyProtection="1">
      <alignment vertical="center"/>
    </xf>
    <xf numFmtId="0" fontId="113" fillId="5" borderId="0" xfId="0" applyFont="1" applyFill="1" applyAlignment="1">
      <alignment vertical="center" wrapText="1"/>
    </xf>
    <xf numFmtId="0" fontId="73" fillId="5" borderId="0" xfId="0" applyFont="1" applyFill="1" applyAlignment="1">
      <alignment horizontal="center" vertical="center" wrapText="1"/>
    </xf>
    <xf numFmtId="0" fontId="63" fillId="5" borderId="5" xfId="0" applyFont="1" applyFill="1" applyBorder="1" applyAlignment="1">
      <alignment horizontal="left" indent="3"/>
    </xf>
    <xf numFmtId="0" fontId="63" fillId="5" borderId="2" xfId="0" applyFont="1" applyFill="1" applyBorder="1" applyAlignment="1">
      <alignment horizontal="left" indent="3"/>
    </xf>
    <xf numFmtId="0" fontId="0" fillId="5" borderId="39" xfId="0" applyFill="1" applyBorder="1" applyAlignment="1">
      <alignment horizontal="left" vertical="center" wrapText="1"/>
    </xf>
    <xf numFmtId="2" fontId="0" fillId="5" borderId="39" xfId="0" applyNumberFormat="1" applyFill="1" applyBorder="1" applyAlignment="1">
      <alignment horizontal="center" vertical="center" wrapText="1"/>
    </xf>
    <xf numFmtId="15" fontId="0" fillId="5" borderId="39" xfId="0" applyNumberFormat="1" applyFill="1" applyBorder="1" applyAlignment="1">
      <alignment horizontal="left" vertical="center" wrapText="1"/>
    </xf>
    <xf numFmtId="0" fontId="0" fillId="5" borderId="39" xfId="0" applyFill="1" applyBorder="1" applyAlignment="1">
      <alignment horizontal="center" vertical="center" wrapText="1"/>
    </xf>
    <xf numFmtId="0" fontId="113" fillId="6" borderId="39" xfId="0" applyFont="1" applyFill="1" applyBorder="1" applyAlignment="1">
      <alignment horizontal="left" vertical="center"/>
    </xf>
    <xf numFmtId="15" fontId="63" fillId="5" borderId="39" xfId="0" applyNumberFormat="1" applyFont="1" applyFill="1" applyBorder="1" applyAlignment="1">
      <alignment horizontal="left" vertical="center"/>
    </xf>
    <xf numFmtId="2" fontId="63" fillId="5" borderId="39" xfId="0" applyNumberFormat="1" applyFont="1" applyFill="1" applyBorder="1" applyAlignment="1">
      <alignment horizontal="center" vertical="center"/>
    </xf>
    <xf numFmtId="0" fontId="63" fillId="5" borderId="5" xfId="0" applyFont="1" applyFill="1" applyBorder="1" applyAlignment="1">
      <alignment horizontal="left" vertical="center"/>
    </xf>
    <xf numFmtId="2" fontId="63" fillId="5" borderId="5" xfId="0" applyNumberFormat="1" applyFont="1" applyFill="1" applyBorder="1" applyAlignment="1">
      <alignment horizontal="center" vertical="center"/>
    </xf>
    <xf numFmtId="2" fontId="63" fillId="5" borderId="5" xfId="0" applyNumberFormat="1" applyFont="1" applyFill="1" applyBorder="1" applyAlignment="1">
      <alignment horizontal="center" vertical="center" wrapText="1"/>
    </xf>
    <xf numFmtId="15" fontId="63" fillId="5" borderId="2" xfId="0" applyNumberFormat="1" applyFont="1" applyFill="1" applyBorder="1" applyAlignment="1">
      <alignment horizontal="left" vertical="center"/>
    </xf>
    <xf numFmtId="2" fontId="63" fillId="5" borderId="2" xfId="0" applyNumberFormat="1" applyFont="1" applyFill="1" applyBorder="1" applyAlignment="1">
      <alignment horizontal="center" vertical="center" wrapText="1"/>
    </xf>
    <xf numFmtId="15" fontId="0" fillId="0" borderId="7" xfId="0" applyNumberFormat="1" applyBorder="1" applyAlignment="1">
      <alignment horizontal="left" vertical="center"/>
    </xf>
    <xf numFmtId="2" fontId="0" fillId="0" borderId="2" xfId="63" applyNumberFormat="1" applyFont="1" applyBorder="1" applyAlignment="1">
      <alignment horizontal="center" vertical="center"/>
    </xf>
    <xf numFmtId="2" fontId="0" fillId="0" borderId="7" xfId="63" applyNumberFormat="1" applyFont="1" applyBorder="1" applyAlignment="1">
      <alignment horizontal="center" vertical="center" wrapText="1"/>
    </xf>
    <xf numFmtId="2" fontId="63" fillId="0" borderId="2" xfId="0" applyNumberFormat="1" applyFont="1" applyBorder="1" applyAlignment="1">
      <alignment horizontal="center"/>
    </xf>
    <xf numFmtId="0" fontId="63" fillId="0" borderId="2" xfId="0" applyFont="1" applyBorder="1" applyAlignment="1">
      <alignment vertical="center"/>
    </xf>
    <xf numFmtId="0" fontId="214" fillId="0" borderId="0" xfId="0" applyFont="1"/>
    <xf numFmtId="0" fontId="212" fillId="5" borderId="0" xfId="0" applyFont="1" applyFill="1"/>
    <xf numFmtId="2" fontId="63" fillId="5" borderId="0" xfId="0" applyNumberFormat="1" applyFont="1" applyFill="1"/>
    <xf numFmtId="0" fontId="63" fillId="5" borderId="0" xfId="0" applyFont="1" applyFill="1" applyAlignment="1">
      <alignment horizontal="left"/>
    </xf>
    <xf numFmtId="2" fontId="113" fillId="5" borderId="0" xfId="0" applyNumberFormat="1" applyFont="1" applyFill="1" applyAlignment="1">
      <alignment horizontal="center"/>
    </xf>
    <xf numFmtId="0" fontId="138" fillId="5" borderId="0" xfId="50" applyFont="1" applyFill="1" applyBorder="1" applyAlignment="1" applyProtection="1">
      <alignment vertical="center"/>
    </xf>
    <xf numFmtId="0" fontId="212" fillId="5" borderId="10" xfId="0" applyFont="1" applyFill="1" applyBorder="1"/>
    <xf numFmtId="0" fontId="63" fillId="5" borderId="12" xfId="0" applyFont="1" applyFill="1" applyBorder="1"/>
    <xf numFmtId="2" fontId="63" fillId="5" borderId="12" xfId="0" applyNumberFormat="1" applyFont="1" applyFill="1" applyBorder="1"/>
    <xf numFmtId="0" fontId="138" fillId="5" borderId="4" xfId="50" applyFont="1" applyFill="1" applyBorder="1" applyAlignment="1" applyProtection="1">
      <alignment horizontal="center" vertical="center"/>
    </xf>
    <xf numFmtId="0" fontId="63" fillId="5" borderId="11" xfId="0" applyFont="1" applyFill="1" applyBorder="1"/>
    <xf numFmtId="0" fontId="63" fillId="5" borderId="13" xfId="0" applyFont="1" applyFill="1" applyBorder="1"/>
    <xf numFmtId="0" fontId="63" fillId="5" borderId="14" xfId="0" applyFont="1" applyFill="1" applyBorder="1" applyAlignment="1">
      <alignment horizontal="center"/>
    </xf>
    <xf numFmtId="0" fontId="113" fillId="5" borderId="0" xfId="37" applyFont="1" applyFill="1" applyAlignment="1">
      <alignment horizontal="center" vertical="center" wrapText="1"/>
    </xf>
    <xf numFmtId="0" fontId="105" fillId="0" borderId="2" xfId="0" applyFont="1" applyBorder="1" applyAlignment="1">
      <alignment horizontal="center" vertical="center" wrapText="1"/>
    </xf>
    <xf numFmtId="10" fontId="105" fillId="0" borderId="2" xfId="0" applyNumberFormat="1" applyFont="1" applyBorder="1" applyAlignment="1">
      <alignment horizontal="center" vertical="center"/>
    </xf>
    <xf numFmtId="0" fontId="105" fillId="0" borderId="2" xfId="0" applyFont="1" applyBorder="1" applyAlignment="1">
      <alignment horizontal="center" vertical="center"/>
    </xf>
    <xf numFmtId="9" fontId="105" fillId="0" borderId="2" xfId="0" applyNumberFormat="1" applyFont="1" applyBorder="1" applyAlignment="1">
      <alignment horizontal="center" vertical="center"/>
    </xf>
    <xf numFmtId="0" fontId="113" fillId="5" borderId="1" xfId="0" applyFont="1" applyFill="1" applyBorder="1" applyAlignment="1">
      <alignment vertical="center" wrapText="1"/>
    </xf>
    <xf numFmtId="0" fontId="0" fillId="5" borderId="2" xfId="0" applyFill="1" applyBorder="1" applyAlignment="1">
      <alignment horizontal="center" vertical="center" wrapText="1"/>
    </xf>
    <xf numFmtId="10" fontId="0" fillId="5" borderId="2" xfId="0" applyNumberFormat="1" applyFill="1" applyBorder="1" applyAlignment="1">
      <alignment horizontal="center" vertical="center" wrapText="1"/>
    </xf>
    <xf numFmtId="10" fontId="0" fillId="5" borderId="1" xfId="0" applyNumberFormat="1" applyFill="1" applyBorder="1" applyAlignment="1">
      <alignment vertical="center" wrapText="1"/>
    </xf>
    <xf numFmtId="10" fontId="0" fillId="5" borderId="0" xfId="0" applyNumberFormat="1" applyFill="1" applyAlignment="1">
      <alignment vertical="center" wrapText="1"/>
    </xf>
    <xf numFmtId="10" fontId="0" fillId="5" borderId="2" xfId="1" applyNumberFormat="1" applyFont="1" applyFill="1" applyBorder="1" applyAlignment="1">
      <alignment horizontal="center" vertical="center" wrapText="1"/>
    </xf>
    <xf numFmtId="0" fontId="215" fillId="5" borderId="0" xfId="0" applyFont="1" applyFill="1" applyAlignment="1">
      <alignment vertical="center" wrapText="1"/>
    </xf>
    <xf numFmtId="10" fontId="0" fillId="5" borderId="0" xfId="0" applyNumberFormat="1" applyFill="1" applyAlignment="1">
      <alignment horizontal="center" vertical="center" wrapText="1"/>
    </xf>
    <xf numFmtId="0" fontId="113" fillId="5" borderId="0" xfId="0" applyFont="1" applyFill="1" applyAlignment="1">
      <alignment wrapText="1"/>
    </xf>
    <xf numFmtId="0" fontId="63" fillId="5" borderId="0" xfId="0" applyFont="1" applyFill="1" applyAlignment="1">
      <alignment wrapText="1"/>
    </xf>
    <xf numFmtId="0" fontId="63" fillId="5" borderId="0" xfId="37" quotePrefix="1" applyFont="1" applyFill="1" applyAlignment="1">
      <alignment horizontal="left" vertical="center" wrapText="1"/>
    </xf>
    <xf numFmtId="9" fontId="217" fillId="0" borderId="2" xfId="0" applyNumberFormat="1" applyFont="1" applyBorder="1" applyAlignment="1">
      <alignment horizontal="center" vertical="center" wrapText="1"/>
    </xf>
    <xf numFmtId="0" fontId="217" fillId="0" borderId="2" xfId="0" applyFont="1" applyBorder="1" applyAlignment="1">
      <alignment horizontal="center" vertical="center" wrapText="1"/>
    </xf>
    <xf numFmtId="10" fontId="217" fillId="0" borderId="2" xfId="0" applyNumberFormat="1" applyFont="1" applyBorder="1" applyAlignment="1">
      <alignment horizontal="center" vertical="center" wrapText="1"/>
    </xf>
    <xf numFmtId="0" fontId="217" fillId="5" borderId="2" xfId="0" applyFont="1" applyFill="1" applyBorder="1" applyAlignment="1">
      <alignment horizontal="center" vertical="center" wrapText="1"/>
    </xf>
    <xf numFmtId="0" fontId="217" fillId="0" borderId="7" xfId="0" applyFont="1" applyBorder="1" applyAlignment="1">
      <alignment horizontal="center" vertical="center" wrapText="1"/>
    </xf>
    <xf numFmtId="0" fontId="113" fillId="6" borderId="63" xfId="55" applyFont="1" applyFill="1" applyBorder="1" applyAlignment="1">
      <alignment horizontal="center" vertical="center" wrapText="1"/>
    </xf>
    <xf numFmtId="0" fontId="113" fillId="10" borderId="2" xfId="55" applyFont="1" applyFill="1" applyBorder="1" applyAlignment="1">
      <alignment horizontal="center" vertical="center" wrapText="1"/>
    </xf>
    <xf numFmtId="0" fontId="63" fillId="5" borderId="2" xfId="55" applyFont="1" applyFill="1" applyBorder="1" applyAlignment="1">
      <alignment horizontal="center"/>
    </xf>
    <xf numFmtId="0" fontId="63" fillId="5" borderId="2" xfId="55" applyFont="1" applyFill="1" applyBorder="1" applyAlignment="1">
      <alignment vertical="center" wrapText="1"/>
    </xf>
    <xf numFmtId="1" fontId="63" fillId="5" borderId="2" xfId="55" applyNumberFormat="1" applyFont="1" applyFill="1" applyBorder="1" applyAlignment="1">
      <alignment horizontal="center" vertical="center" wrapText="1"/>
    </xf>
    <xf numFmtId="168" fontId="63" fillId="5" borderId="2" xfId="55" applyNumberFormat="1" applyFont="1" applyFill="1" applyBorder="1" applyAlignment="1">
      <alignment horizontal="right" vertical="center" wrapText="1"/>
    </xf>
    <xf numFmtId="175" fontId="63" fillId="5" borderId="2" xfId="63" applyNumberFormat="1" applyFont="1" applyFill="1" applyBorder="1" applyAlignment="1">
      <alignment horizontal="right" vertical="center" wrapText="1"/>
    </xf>
    <xf numFmtId="0" fontId="63" fillId="5" borderId="2" xfId="55" applyFont="1" applyFill="1" applyBorder="1"/>
    <xf numFmtId="0" fontId="63" fillId="5" borderId="2" xfId="55" applyFont="1" applyFill="1" applyBorder="1" applyAlignment="1">
      <alignment vertical="center"/>
    </xf>
    <xf numFmtId="0" fontId="63" fillId="5" borderId="5" xfId="55" applyFont="1" applyFill="1" applyBorder="1" applyAlignment="1">
      <alignment vertical="center"/>
    </xf>
    <xf numFmtId="1" fontId="63" fillId="5" borderId="5" xfId="55" applyNumberFormat="1" applyFont="1" applyFill="1" applyBorder="1" applyAlignment="1">
      <alignment horizontal="center" vertical="center" wrapText="1"/>
    </xf>
    <xf numFmtId="168" fontId="63" fillId="5" borderId="5" xfId="55" applyNumberFormat="1" applyFont="1" applyFill="1" applyBorder="1" applyAlignment="1">
      <alignment horizontal="right" vertical="center" wrapText="1"/>
    </xf>
    <xf numFmtId="175" fontId="63" fillId="5" borderId="5" xfId="63" applyNumberFormat="1" applyFont="1" applyFill="1" applyBorder="1" applyAlignment="1">
      <alignment horizontal="right" vertical="center" wrapText="1"/>
    </xf>
    <xf numFmtId="49" fontId="63" fillId="5" borderId="10" xfId="0" applyNumberFormat="1" applyFont="1" applyFill="1" applyBorder="1"/>
    <xf numFmtId="0" fontId="63" fillId="5" borderId="12" xfId="0" applyFont="1" applyFill="1" applyBorder="1" applyAlignment="1">
      <alignment horizontal="center"/>
    </xf>
    <xf numFmtId="0" fontId="63" fillId="5" borderId="4" xfId="0" applyFont="1" applyFill="1" applyBorder="1" applyAlignment="1">
      <alignment horizontal="center"/>
    </xf>
    <xf numFmtId="0" fontId="63" fillId="0" borderId="15" xfId="0" applyFont="1" applyBorder="1" applyAlignment="1">
      <alignment horizontal="center"/>
    </xf>
    <xf numFmtId="49" fontId="63" fillId="5" borderId="1" xfId="0" applyNumberFormat="1" applyFont="1" applyFill="1" applyBorder="1"/>
    <xf numFmtId="0" fontId="63" fillId="5" borderId="0" xfId="55" applyFont="1" applyFill="1"/>
    <xf numFmtId="0" fontId="63" fillId="5" borderId="11" xfId="55" applyFont="1" applyFill="1" applyBorder="1"/>
    <xf numFmtId="0" fontId="63" fillId="5" borderId="13" xfId="0" applyFont="1" applyFill="1" applyBorder="1" applyAlignment="1">
      <alignment horizontal="center"/>
    </xf>
    <xf numFmtId="165" fontId="63" fillId="0" borderId="0" xfId="63" applyFont="1" applyAlignment="1">
      <alignment horizontal="center"/>
    </xf>
    <xf numFmtId="168" fontId="63" fillId="5" borderId="39" xfId="0" applyNumberFormat="1" applyFont="1" applyFill="1" applyBorder="1" applyAlignment="1">
      <alignment horizontal="right" vertical="center"/>
    </xf>
    <xf numFmtId="175" fontId="63" fillId="5" borderId="39" xfId="63" applyNumberFormat="1" applyFont="1" applyFill="1" applyBorder="1" applyAlignment="1">
      <alignment horizontal="right" vertical="center"/>
    </xf>
    <xf numFmtId="0" fontId="63" fillId="5" borderId="40" xfId="57" applyFont="1" applyFill="1" applyBorder="1" applyAlignment="1">
      <alignment horizontal="center" vertical="center"/>
    </xf>
    <xf numFmtId="2" fontId="63" fillId="0" borderId="0" xfId="0" applyNumberFormat="1" applyFont="1"/>
    <xf numFmtId="0" fontId="138" fillId="5" borderId="0" xfId="50" applyFont="1" applyFill="1" applyBorder="1" applyAlignment="1" applyProtection="1">
      <alignment horizontal="center" vertical="center"/>
    </xf>
    <xf numFmtId="0" fontId="138" fillId="5" borderId="15" xfId="50" applyFont="1" applyFill="1" applyBorder="1" applyAlignment="1" applyProtection="1">
      <alignment horizontal="center" vertical="center"/>
    </xf>
    <xf numFmtId="0" fontId="63" fillId="5" borderId="0" xfId="57" applyFont="1" applyFill="1"/>
    <xf numFmtId="1" fontId="63" fillId="5" borderId="0" xfId="0" applyNumberFormat="1" applyFont="1" applyFill="1" applyAlignment="1">
      <alignment horizontal="center"/>
    </xf>
    <xf numFmtId="1" fontId="63" fillId="5" borderId="15" xfId="0" applyNumberFormat="1" applyFont="1" applyFill="1" applyBorder="1" applyAlignment="1">
      <alignment horizontal="center"/>
    </xf>
    <xf numFmtId="2" fontId="113" fillId="6" borderId="73" xfId="58" applyNumberFormat="1" applyFont="1" applyFill="1" applyBorder="1" applyAlignment="1">
      <alignment horizontal="left" vertical="center"/>
    </xf>
    <xf numFmtId="0" fontId="113" fillId="6" borderId="64" xfId="55" applyFont="1" applyFill="1" applyBorder="1" applyAlignment="1">
      <alignment horizontal="center" vertical="center" wrapText="1"/>
    </xf>
    <xf numFmtId="0" fontId="113" fillId="6" borderId="65" xfId="55" applyFont="1" applyFill="1" applyBorder="1" applyAlignment="1">
      <alignment horizontal="center" vertical="center" wrapText="1"/>
    </xf>
    <xf numFmtId="0" fontId="113" fillId="6" borderId="66" xfId="55" applyFont="1" applyFill="1" applyBorder="1" applyAlignment="1">
      <alignment horizontal="center" vertical="center" wrapText="1"/>
    </xf>
    <xf numFmtId="1" fontId="63" fillId="0" borderId="0" xfId="13" applyNumberFormat="1" applyFont="1" applyAlignment="1">
      <alignment horizontal="center" vertical="center"/>
    </xf>
    <xf numFmtId="0" fontId="63" fillId="5" borderId="12" xfId="59" applyFont="1" applyFill="1" applyBorder="1" applyAlignment="1">
      <alignment horizontal="left" vertical="top" wrapText="1"/>
    </xf>
    <xf numFmtId="0" fontId="63" fillId="5" borderId="1" xfId="58" applyFont="1" applyFill="1" applyBorder="1" applyAlignment="1">
      <alignment horizontal="left"/>
    </xf>
    <xf numFmtId="208" fontId="63" fillId="0" borderId="2" xfId="29" applyNumberFormat="1" applyFont="1" applyBorder="1" applyAlignment="1">
      <alignment horizontal="center" vertical="center"/>
    </xf>
    <xf numFmtId="208" fontId="63" fillId="0" borderId="2" xfId="29" applyNumberFormat="1" applyFont="1" applyBorder="1" applyAlignment="1">
      <alignment horizontal="center"/>
    </xf>
    <xf numFmtId="208" fontId="63" fillId="0" borderId="39" xfId="29" applyNumberFormat="1" applyFont="1" applyBorder="1" applyAlignment="1">
      <alignment horizontal="right" vertical="center"/>
    </xf>
    <xf numFmtId="0" fontId="113" fillId="0" borderId="2" xfId="59" applyFont="1" applyBorder="1" applyAlignment="1">
      <alignment horizontal="center" vertical="center"/>
    </xf>
    <xf numFmtId="10" fontId="63" fillId="0" borderId="2" xfId="0" applyNumberFormat="1" applyFont="1" applyBorder="1" applyAlignment="1">
      <alignment horizontal="center"/>
    </xf>
    <xf numFmtId="0" fontId="163" fillId="5" borderId="2" xfId="0" applyFont="1" applyFill="1" applyBorder="1" applyAlignment="1">
      <alignment horizontal="justify" vertical="center" wrapText="1"/>
    </xf>
    <xf numFmtId="0" fontId="218" fillId="7" borderId="2" xfId="0" applyFont="1" applyFill="1" applyBorder="1" applyAlignment="1">
      <alignment horizontal="justify" vertical="center" wrapText="1"/>
    </xf>
    <xf numFmtId="0" fontId="36" fillId="0" borderId="33" xfId="60" applyFont="1" applyBorder="1" applyAlignment="1">
      <alignment horizontal="center" vertical="center" wrapText="1"/>
    </xf>
    <xf numFmtId="165" fontId="63" fillId="0" borderId="0" xfId="0" applyNumberFormat="1" applyFont="1"/>
    <xf numFmtId="2" fontId="63" fillId="5" borderId="39" xfId="57" applyNumberFormat="1" applyFont="1" applyFill="1" applyBorder="1" applyAlignment="1">
      <alignment vertical="center" wrapText="1"/>
    </xf>
    <xf numFmtId="2" fontId="63" fillId="5" borderId="39" xfId="0" applyNumberFormat="1" applyFont="1" applyFill="1" applyBorder="1" applyAlignment="1">
      <alignment horizontal="center"/>
    </xf>
    <xf numFmtId="2" fontId="63" fillId="5" borderId="39" xfId="0" applyNumberFormat="1" applyFont="1" applyFill="1" applyBorder="1" applyAlignment="1">
      <alignment horizontal="right"/>
    </xf>
    <xf numFmtId="2" fontId="63" fillId="5" borderId="39" xfId="57" applyNumberFormat="1" applyFont="1" applyFill="1" applyBorder="1" applyAlignment="1">
      <alignment vertical="center"/>
    </xf>
    <xf numFmtId="2" fontId="63" fillId="5" borderId="40" xfId="57" applyNumberFormat="1" applyFont="1" applyFill="1" applyBorder="1" applyAlignment="1">
      <alignment vertical="center"/>
    </xf>
    <xf numFmtId="2" fontId="63" fillId="5" borderId="76" xfId="57" applyNumberFormat="1" applyFont="1" applyFill="1" applyBorder="1" applyAlignment="1">
      <alignment horizontal="center" vertical="center"/>
    </xf>
    <xf numFmtId="2" fontId="63" fillId="5" borderId="76" xfId="57" applyNumberFormat="1" applyFont="1" applyFill="1" applyBorder="1" applyAlignment="1">
      <alignment vertical="center" wrapText="1"/>
    </xf>
    <xf numFmtId="2" fontId="63" fillId="5" borderId="76" xfId="0" applyNumberFormat="1" applyFont="1" applyFill="1" applyBorder="1" applyAlignment="1">
      <alignment horizontal="center" vertical="center"/>
    </xf>
    <xf numFmtId="2" fontId="63" fillId="5" borderId="76" xfId="0" applyNumberFormat="1" applyFont="1" applyFill="1" applyBorder="1" applyAlignment="1">
      <alignment horizontal="right" vertical="center"/>
    </xf>
    <xf numFmtId="2" fontId="63" fillId="5" borderId="76" xfId="63" applyNumberFormat="1" applyFont="1" applyFill="1" applyBorder="1" applyAlignment="1">
      <alignment horizontal="right" vertical="center"/>
    </xf>
    <xf numFmtId="1" fontId="63" fillId="5" borderId="39" xfId="57" applyNumberFormat="1" applyFont="1" applyFill="1" applyBorder="1" applyAlignment="1">
      <alignment horizontal="center" vertical="center"/>
    </xf>
    <xf numFmtId="1" fontId="63" fillId="5" borderId="40" xfId="57" applyNumberFormat="1" applyFont="1" applyFill="1" applyBorder="1" applyAlignment="1">
      <alignment horizontal="center" vertical="center"/>
    </xf>
    <xf numFmtId="169" fontId="7" fillId="0" borderId="0" xfId="1" applyNumberFormat="1" applyFont="1"/>
    <xf numFmtId="169" fontId="71" fillId="0" borderId="0" xfId="1" applyNumberFormat="1" applyFont="1"/>
    <xf numFmtId="43" fontId="39" fillId="0" borderId="2" xfId="9" applyFont="1" applyBorder="1" applyAlignment="1">
      <alignment horizontal="center" vertical="center" shrinkToFit="1"/>
    </xf>
    <xf numFmtId="0" fontId="39" fillId="0" borderId="2" xfId="0" applyFont="1" applyBorder="1" applyAlignment="1">
      <alignment horizontal="center"/>
    </xf>
    <xf numFmtId="0" fontId="39" fillId="0" borderId="2" xfId="0" applyFont="1" applyBorder="1"/>
    <xf numFmtId="43" fontId="39" fillId="0" borderId="2" xfId="9" applyFont="1" applyBorder="1" applyAlignment="1">
      <alignment horizontal="center" vertical="center" wrapText="1" shrinkToFit="1"/>
    </xf>
    <xf numFmtId="0" fontId="39" fillId="0" borderId="2" xfId="0" applyFont="1" applyBorder="1" applyAlignment="1">
      <alignment horizontal="center" vertical="center" shrinkToFit="1"/>
    </xf>
    <xf numFmtId="0" fontId="219" fillId="0" borderId="0" xfId="0" applyFont="1" applyAlignment="1">
      <alignment wrapText="1"/>
    </xf>
    <xf numFmtId="0" fontId="219" fillId="0" borderId="0" xfId="0" applyFont="1" applyAlignment="1">
      <alignment vertical="center" wrapText="1"/>
    </xf>
    <xf numFmtId="0" fontId="36" fillId="0" borderId="2" xfId="0" applyFont="1" applyBorder="1" applyAlignment="1">
      <alignment horizontal="center" vertical="center"/>
    </xf>
    <xf numFmtId="0" fontId="141" fillId="0" borderId="2" xfId="0" applyFont="1" applyBorder="1" applyAlignment="1">
      <alignment horizontal="justify" vertical="center"/>
    </xf>
    <xf numFmtId="185" fontId="36" fillId="0" borderId="7" xfId="35" applyNumberFormat="1" applyFont="1" applyBorder="1" applyAlignment="1">
      <alignment horizontal="center" vertical="center" wrapText="1"/>
    </xf>
    <xf numFmtId="0" fontId="9" fillId="0" borderId="2" xfId="11" applyFont="1" applyFill="1" applyBorder="1" applyAlignment="1">
      <alignment horizontal="center"/>
    </xf>
    <xf numFmtId="168" fontId="44" fillId="5" borderId="2" xfId="11" applyNumberFormat="1" applyFont="1" applyFill="1" applyBorder="1" applyAlignment="1">
      <alignment horizontal="center" vertical="center"/>
    </xf>
    <xf numFmtId="168" fontId="44" fillId="5" borderId="2" xfId="11" applyNumberFormat="1" applyFont="1" applyFill="1" applyBorder="1" applyAlignment="1">
      <alignment horizontal="center" vertical="center" wrapText="1"/>
    </xf>
    <xf numFmtId="178" fontId="44" fillId="5" borderId="2" xfId="11" applyNumberFormat="1" applyFont="1" applyFill="1" applyBorder="1" applyAlignment="1">
      <alignment horizontal="center" wrapText="1"/>
    </xf>
    <xf numFmtId="168" fontId="12" fillId="5" borderId="2" xfId="11" applyNumberFormat="1" applyFont="1" applyFill="1" applyBorder="1" applyAlignment="1">
      <alignment horizontal="center"/>
    </xf>
    <xf numFmtId="168" fontId="12" fillId="5" borderId="2" xfId="11" applyNumberFormat="1" applyFont="1" applyFill="1" applyBorder="1" applyAlignment="1">
      <alignment horizontal="center" wrapText="1"/>
    </xf>
    <xf numFmtId="178" fontId="12" fillId="5" borderId="2" xfId="11" applyNumberFormat="1" applyFont="1" applyFill="1" applyBorder="1" applyAlignment="1">
      <alignment horizontal="center" wrapText="1"/>
    </xf>
    <xf numFmtId="0" fontId="9" fillId="5" borderId="2" xfId="0" applyFont="1" applyFill="1" applyBorder="1" applyAlignment="1">
      <alignment horizontal="center" vertical="center" wrapText="1"/>
    </xf>
    <xf numFmtId="0" fontId="34" fillId="0" borderId="2" xfId="11" applyFont="1" applyFill="1" applyBorder="1" applyAlignment="1">
      <alignment vertical="center"/>
    </xf>
    <xf numFmtId="0" fontId="23" fillId="0" borderId="2" xfId="11" applyFont="1" applyFill="1" applyBorder="1" applyAlignment="1">
      <alignment horizontal="center" vertical="center"/>
    </xf>
    <xf numFmtId="0" fontId="23" fillId="0" borderId="33" xfId="11" applyFont="1" applyFill="1" applyBorder="1" applyAlignment="1">
      <alignment horizontal="center" vertical="center"/>
    </xf>
    <xf numFmtId="0" fontId="58" fillId="0" borderId="2" xfId="11" applyFont="1" applyFill="1" applyBorder="1" applyAlignment="1">
      <alignment horizontal="center" vertical="center"/>
    </xf>
    <xf numFmtId="0" fontId="58" fillId="0" borderId="33" xfId="11" applyFont="1" applyFill="1" applyBorder="1" applyAlignment="1">
      <alignment horizontal="center" vertical="center"/>
    </xf>
    <xf numFmtId="0" fontId="15" fillId="0" borderId="20" xfId="11" applyFont="1" applyFill="1" applyBorder="1" applyAlignment="1">
      <alignment horizontal="left" vertical="center"/>
    </xf>
    <xf numFmtId="0" fontId="15" fillId="0" borderId="0" xfId="11" applyFont="1" applyFill="1" applyBorder="1" applyAlignment="1">
      <alignment horizontal="left" vertical="center"/>
    </xf>
    <xf numFmtId="0" fontId="9" fillId="0" borderId="0" xfId="11" applyFont="1" applyFill="1" applyBorder="1" applyAlignment="1">
      <alignment horizontal="left" vertical="center"/>
    </xf>
    <xf numFmtId="0" fontId="10" fillId="0" borderId="0" xfId="11" applyFont="1" applyFill="1" applyBorder="1" applyAlignment="1">
      <alignment horizontal="left" vertical="center"/>
    </xf>
    <xf numFmtId="0" fontId="10" fillId="0" borderId="21" xfId="11" applyFont="1" applyFill="1" applyBorder="1" applyAlignment="1">
      <alignment horizontal="left" vertical="center"/>
    </xf>
    <xf numFmtId="0" fontId="34" fillId="0" borderId="2" xfId="11" applyFont="1" applyFill="1" applyBorder="1" applyAlignment="1">
      <alignment horizontal="center" vertical="center"/>
    </xf>
    <xf numFmtId="181" fontId="23" fillId="5" borderId="2" xfId="11" applyNumberFormat="1" applyFont="1" applyFill="1" applyBorder="1" applyAlignment="1">
      <alignment horizontal="center" vertical="center"/>
    </xf>
    <xf numFmtId="182" fontId="23" fillId="5" borderId="2" xfId="11" applyNumberFormat="1" applyFont="1" applyFill="1" applyBorder="1" applyAlignment="1">
      <alignment horizontal="center" vertical="center"/>
    </xf>
    <xf numFmtId="168" fontId="23" fillId="5" borderId="33" xfId="11" applyNumberFormat="1" applyFont="1" applyFill="1" applyBorder="1" applyAlignment="1">
      <alignment horizontal="center" vertical="center"/>
    </xf>
    <xf numFmtId="181" fontId="58" fillId="5" borderId="2" xfId="11" applyNumberFormat="1" applyFont="1" applyFill="1" applyBorder="1" applyAlignment="1">
      <alignment horizontal="center" vertical="center"/>
    </xf>
    <xf numFmtId="182" fontId="58" fillId="5" borderId="2" xfId="11" applyNumberFormat="1" applyFont="1" applyFill="1" applyBorder="1" applyAlignment="1">
      <alignment horizontal="center" vertical="center"/>
    </xf>
    <xf numFmtId="168" fontId="58" fillId="5" borderId="33" xfId="11" applyNumberFormat="1" applyFont="1" applyFill="1" applyBorder="1" applyAlignment="1">
      <alignment horizontal="center" vertical="center"/>
    </xf>
    <xf numFmtId="1" fontId="124" fillId="0" borderId="7" xfId="14" applyNumberFormat="1" applyFont="1" applyFill="1" applyBorder="1" applyAlignment="1">
      <alignment horizontal="center" vertical="center"/>
    </xf>
    <xf numFmtId="1" fontId="69" fillId="0" borderId="7" xfId="14" applyNumberFormat="1" applyFont="1" applyFill="1" applyBorder="1" applyAlignment="1">
      <alignment horizontal="center" vertical="center"/>
    </xf>
    <xf numFmtId="0" fontId="69" fillId="0" borderId="2" xfId="14" applyFont="1" applyFill="1" applyBorder="1" applyAlignment="1">
      <alignment vertical="center"/>
    </xf>
    <xf numFmtId="1" fontId="69" fillId="0" borderId="33" xfId="0" applyNumberFormat="1" applyFont="1" applyBorder="1" applyAlignment="1">
      <alignment horizontal="center" vertical="center"/>
    </xf>
    <xf numFmtId="0" fontId="124" fillId="0" borderId="2" xfId="14" applyFont="1" applyFill="1" applyBorder="1" applyAlignment="1">
      <alignment vertical="center"/>
    </xf>
    <xf numFmtId="1" fontId="124" fillId="0" borderId="33" xfId="0" applyNumberFormat="1" applyFont="1" applyBorder="1" applyAlignment="1">
      <alignment horizontal="center" vertical="center"/>
    </xf>
    <xf numFmtId="0" fontId="124" fillId="0" borderId="0" xfId="0" applyFont="1" applyAlignment="1">
      <alignment vertical="center"/>
    </xf>
    <xf numFmtId="0" fontId="124" fillId="0" borderId="21" xfId="0" applyFont="1" applyBorder="1" applyAlignment="1">
      <alignment vertical="center"/>
    </xf>
    <xf numFmtId="0" fontId="56" fillId="0" borderId="20" xfId="0" applyFont="1" applyBorder="1" applyAlignment="1">
      <alignment vertical="center"/>
    </xf>
    <xf numFmtId="1" fontId="124" fillId="0" borderId="7" xfId="0" applyNumberFormat="1" applyFont="1" applyBorder="1" applyAlignment="1">
      <alignment horizontal="center" vertical="center"/>
    </xf>
    <xf numFmtId="1" fontId="69" fillId="0" borderId="7" xfId="0" applyNumberFormat="1" applyFont="1" applyBorder="1" applyAlignment="1">
      <alignment horizontal="center" vertical="center"/>
    </xf>
    <xf numFmtId="1" fontId="69" fillId="0" borderId="33" xfId="14" applyNumberFormat="1" applyFont="1" applyFill="1" applyBorder="1" applyAlignment="1">
      <alignment horizontal="center" vertical="center"/>
    </xf>
    <xf numFmtId="1" fontId="69" fillId="0" borderId="2" xfId="0" applyNumberFormat="1" applyFont="1" applyBorder="1" applyAlignment="1">
      <alignment horizontal="center" vertical="center"/>
    </xf>
    <xf numFmtId="1" fontId="124" fillId="0" borderId="2" xfId="0" applyNumberFormat="1" applyFont="1" applyBorder="1" applyAlignment="1">
      <alignment horizontal="center" vertical="center"/>
    </xf>
    <xf numFmtId="1" fontId="69" fillId="5" borderId="7" xfId="0" applyNumberFormat="1" applyFont="1" applyFill="1" applyBorder="1" applyAlignment="1">
      <alignment horizontal="center" vertical="center"/>
    </xf>
    <xf numFmtId="1" fontId="69" fillId="5" borderId="33" xfId="14" applyNumberFormat="1" applyFont="1" applyFill="1" applyBorder="1" applyAlignment="1">
      <alignment horizontal="center" vertical="center"/>
    </xf>
    <xf numFmtId="1" fontId="124" fillId="5" borderId="7" xfId="0" applyNumberFormat="1" applyFont="1" applyFill="1" applyBorder="1" applyAlignment="1">
      <alignment horizontal="center" vertical="center"/>
    </xf>
    <xf numFmtId="1" fontId="124" fillId="5" borderId="33" xfId="0" applyNumberFormat="1" applyFont="1" applyFill="1" applyBorder="1" applyAlignment="1">
      <alignment horizontal="center" vertical="center"/>
    </xf>
    <xf numFmtId="168" fontId="124" fillId="0" borderId="7" xfId="0" applyNumberFormat="1" applyFont="1" applyBorder="1" applyAlignment="1">
      <alignment horizontal="center" vertical="center"/>
    </xf>
    <xf numFmtId="168" fontId="69" fillId="0" borderId="7" xfId="0" applyNumberFormat="1" applyFont="1" applyBorder="1" applyAlignment="1">
      <alignment horizontal="center" vertical="center"/>
    </xf>
    <xf numFmtId="168" fontId="124" fillId="0" borderId="33" xfId="0" applyNumberFormat="1" applyFont="1" applyBorder="1" applyAlignment="1">
      <alignment horizontal="center" vertical="center"/>
    </xf>
    <xf numFmtId="0" fontId="124" fillId="0" borderId="2" xfId="0" applyFont="1" applyBorder="1" applyAlignment="1">
      <alignment horizontal="right" vertical="center"/>
    </xf>
    <xf numFmtId="0" fontId="69" fillId="0" borderId="2" xfId="0" applyFont="1" applyBorder="1" applyAlignment="1">
      <alignment horizontal="center" vertical="center" wrapText="1"/>
    </xf>
    <xf numFmtId="168" fontId="124" fillId="0" borderId="33" xfId="15" applyNumberFormat="1" applyFont="1" applyFill="1" applyBorder="1" applyAlignment="1">
      <alignment horizontal="center" vertical="center"/>
    </xf>
    <xf numFmtId="168" fontId="69" fillId="0" borderId="33" xfId="15" applyNumberFormat="1" applyFont="1" applyFill="1" applyBorder="1" applyAlignment="1">
      <alignment horizontal="center" vertical="center"/>
    </xf>
    <xf numFmtId="187" fontId="124" fillId="0" borderId="16" xfId="15" applyNumberFormat="1" applyFont="1" applyFill="1" applyBorder="1" applyAlignment="1">
      <alignment horizontal="center" vertical="center"/>
    </xf>
    <xf numFmtId="168" fontId="58" fillId="5" borderId="2" xfId="11" applyNumberFormat="1" applyFont="1" applyFill="1" applyBorder="1" applyAlignment="1">
      <alignment horizontal="center" vertical="center" wrapText="1"/>
    </xf>
    <xf numFmtId="178" fontId="58" fillId="0" borderId="33" xfId="11" applyNumberFormat="1" applyFont="1" applyFill="1" applyBorder="1" applyAlignment="1">
      <alignment horizontal="center" vertical="center" wrapText="1"/>
    </xf>
    <xf numFmtId="168" fontId="58" fillId="0" borderId="2" xfId="11" applyNumberFormat="1" applyFont="1" applyFill="1" applyBorder="1" applyAlignment="1">
      <alignment horizontal="center" vertical="center" wrapText="1"/>
    </xf>
    <xf numFmtId="178" fontId="23" fillId="0" borderId="33" xfId="11" applyNumberFormat="1" applyFont="1" applyFill="1" applyBorder="1" applyAlignment="1">
      <alignment horizontal="center" vertical="center" wrapText="1"/>
    </xf>
    <xf numFmtId="178" fontId="23" fillId="0" borderId="2" xfId="11" applyNumberFormat="1" applyFont="1" applyFill="1" applyBorder="1" applyAlignment="1">
      <alignment horizontal="center" vertical="center" wrapText="1"/>
    </xf>
    <xf numFmtId="168" fontId="71" fillId="5" borderId="2" xfId="11" applyNumberFormat="1" applyFont="1" applyFill="1" applyBorder="1" applyAlignment="1">
      <alignment horizontal="center" vertical="center"/>
    </xf>
    <xf numFmtId="168" fontId="34" fillId="0" borderId="2" xfId="11" applyNumberFormat="1" applyFont="1" applyFill="1" applyBorder="1" applyAlignment="1">
      <alignment horizontal="center" vertical="center"/>
    </xf>
    <xf numFmtId="0" fontId="58" fillId="0" borderId="16" xfId="11" applyFont="1" applyFill="1" applyBorder="1" applyAlignment="1">
      <alignment horizontal="center" vertical="center"/>
    </xf>
    <xf numFmtId="0" fontId="71" fillId="0" borderId="2" xfId="11" applyFont="1" applyFill="1" applyBorder="1" applyAlignment="1">
      <alignment vertical="center"/>
    </xf>
    <xf numFmtId="0" fontId="23" fillId="0" borderId="16" xfId="11" applyFont="1" applyFill="1" applyBorder="1" applyAlignment="1">
      <alignment horizontal="center" vertical="center"/>
    </xf>
    <xf numFmtId="0" fontId="40" fillId="0" borderId="0" xfId="11" applyFont="1" applyFill="1" applyBorder="1" applyAlignment="1">
      <alignment vertical="center"/>
    </xf>
    <xf numFmtId="0" fontId="40" fillId="0" borderId="0" xfId="11" applyFont="1" applyFill="1" applyBorder="1" applyAlignment="1">
      <alignment horizontal="center" vertical="center"/>
    </xf>
    <xf numFmtId="0" fontId="37" fillId="0" borderId="21" xfId="11" applyFont="1" applyFill="1" applyBorder="1" applyAlignment="1">
      <alignment horizontal="center" vertical="center"/>
    </xf>
    <xf numFmtId="168" fontId="34" fillId="5" borderId="2" xfId="11" applyNumberFormat="1" applyFont="1" applyFill="1" applyBorder="1" applyAlignment="1">
      <alignment horizontal="center" vertical="center"/>
    </xf>
    <xf numFmtId="168" fontId="23" fillId="5" borderId="2" xfId="11" applyNumberFormat="1" applyFont="1" applyFill="1" applyBorder="1" applyAlignment="1">
      <alignment horizontal="center" vertical="center" wrapText="1"/>
    </xf>
    <xf numFmtId="178" fontId="23" fillId="5" borderId="33" xfId="11" applyNumberFormat="1" applyFont="1" applyFill="1" applyBorder="1" applyAlignment="1">
      <alignment horizontal="center" vertical="center" wrapText="1"/>
    </xf>
    <xf numFmtId="178" fontId="58" fillId="5" borderId="33" xfId="11" applyNumberFormat="1" applyFont="1" applyFill="1" applyBorder="1" applyAlignment="1">
      <alignment horizontal="center" vertical="center" wrapText="1"/>
    </xf>
    <xf numFmtId="168" fontId="23" fillId="0" borderId="2" xfId="11" applyNumberFormat="1" applyFont="1" applyFill="1" applyBorder="1" applyAlignment="1">
      <alignment horizontal="center" vertical="center" wrapText="1"/>
    </xf>
    <xf numFmtId="0" fontId="40" fillId="0" borderId="20" xfId="11" applyFont="1" applyFill="1" applyBorder="1" applyAlignment="1">
      <alignment horizontal="left" vertical="center"/>
    </xf>
    <xf numFmtId="169" fontId="58" fillId="0" borderId="2" xfId="1" applyNumberFormat="1" applyFont="1" applyBorder="1" applyAlignment="1">
      <alignment horizontal="center" vertical="center"/>
    </xf>
    <xf numFmtId="2" fontId="23" fillId="0" borderId="33" xfId="0" applyNumberFormat="1" applyFont="1" applyBorder="1" applyAlignment="1">
      <alignment horizontal="center" vertical="center"/>
    </xf>
    <xf numFmtId="169" fontId="23" fillId="0" borderId="2" xfId="1" applyNumberFormat="1" applyFont="1" applyBorder="1" applyAlignment="1">
      <alignment horizontal="center" vertical="center"/>
    </xf>
    <xf numFmtId="169" fontId="58" fillId="0" borderId="33" xfId="1" applyNumberFormat="1" applyFont="1" applyBorder="1" applyAlignment="1">
      <alignment horizontal="center" vertical="center"/>
    </xf>
    <xf numFmtId="2" fontId="58" fillId="0" borderId="33" xfId="0" applyNumberFormat="1" applyFont="1" applyBorder="1" applyAlignment="1">
      <alignment horizontal="center" vertical="center"/>
    </xf>
    <xf numFmtId="169" fontId="23" fillId="0" borderId="33" xfId="1" applyNumberFormat="1" applyFont="1" applyBorder="1" applyAlignment="1">
      <alignment horizontal="center" vertical="center"/>
    </xf>
    <xf numFmtId="0" fontId="71" fillId="0" borderId="0" xfId="0" applyFont="1" applyAlignment="1">
      <alignment horizontal="center" vertical="center"/>
    </xf>
    <xf numFmtId="0" fontId="71" fillId="0" borderId="2" xfId="0" applyFont="1" applyBorder="1" applyAlignment="1">
      <alignment horizontal="right" vertical="center"/>
    </xf>
    <xf numFmtId="0" fontId="71" fillId="0" borderId="31" xfId="0" applyFont="1" applyBorder="1" applyAlignment="1">
      <alignment vertical="center"/>
    </xf>
    <xf numFmtId="0" fontId="71" fillId="0" borderId="21" xfId="0" applyFont="1" applyBorder="1" applyAlignment="1">
      <alignment vertical="center"/>
    </xf>
    <xf numFmtId="0" fontId="9" fillId="0" borderId="9" xfId="24" applyFont="1" applyBorder="1" applyAlignment="1">
      <alignment vertical="center" wrapText="1"/>
    </xf>
    <xf numFmtId="0" fontId="44" fillId="0" borderId="8" xfId="24" applyFont="1" applyBorder="1" applyAlignment="1">
      <alignment horizontal="center" vertical="center" wrapText="1"/>
    </xf>
    <xf numFmtId="0" fontId="1" fillId="0" borderId="0" xfId="55" applyAlignment="1">
      <alignment horizontal="left" vertical="center"/>
    </xf>
    <xf numFmtId="0" fontId="3" fillId="13" borderId="2" xfId="55" applyFont="1" applyFill="1" applyBorder="1" applyAlignment="1">
      <alignment vertical="center" wrapText="1"/>
    </xf>
    <xf numFmtId="14" fontId="3" fillId="13" borderId="2" xfId="55" applyNumberFormat="1" applyFont="1" applyFill="1" applyBorder="1" applyAlignment="1">
      <alignment horizontal="center" vertical="center" wrapText="1"/>
    </xf>
    <xf numFmtId="0" fontId="220" fillId="0" borderId="2" xfId="0" applyFont="1" applyBorder="1"/>
    <xf numFmtId="14" fontId="220" fillId="0" borderId="2" xfId="0" applyNumberFormat="1" applyFont="1" applyBorder="1" applyAlignment="1">
      <alignment horizontal="center"/>
    </xf>
    <xf numFmtId="0" fontId="220" fillId="14" borderId="2" xfId="0" applyFont="1" applyFill="1" applyBorder="1"/>
    <xf numFmtId="14" fontId="220" fillId="14" borderId="2" xfId="0" applyNumberFormat="1" applyFont="1" applyFill="1" applyBorder="1" applyAlignment="1">
      <alignment horizontal="center"/>
    </xf>
    <xf numFmtId="0" fontId="220" fillId="0" borderId="2" xfId="0" applyFont="1" applyBorder="1" applyAlignment="1">
      <alignment horizontal="center"/>
    </xf>
    <xf numFmtId="14" fontId="3" fillId="13" borderId="2" xfId="55" applyNumberFormat="1" applyFont="1" applyFill="1" applyBorder="1" applyAlignment="1">
      <alignment horizontal="center" vertical="center"/>
    </xf>
    <xf numFmtId="1" fontId="3" fillId="13" borderId="2" xfId="55" applyNumberFormat="1" applyFont="1" applyFill="1" applyBorder="1" applyAlignment="1">
      <alignment horizontal="right" vertical="center"/>
    </xf>
    <xf numFmtId="1" fontId="136" fillId="0" borderId="16" xfId="20" applyNumberFormat="1" applyFont="1" applyBorder="1" applyAlignment="1">
      <alignment horizontal="center" vertical="center" wrapText="1"/>
    </xf>
    <xf numFmtId="169" fontId="7" fillId="0" borderId="0" xfId="1" applyNumberFormat="1" applyFont="1" applyAlignment="1">
      <alignment wrapText="1"/>
    </xf>
    <xf numFmtId="209" fontId="7" fillId="0" borderId="0" xfId="1" applyNumberFormat="1" applyFont="1" applyAlignment="1">
      <alignment wrapText="1"/>
    </xf>
    <xf numFmtId="3" fontId="113" fillId="5" borderId="0" xfId="0" applyNumberFormat="1" applyFont="1" applyFill="1" applyAlignment="1">
      <alignment horizontal="center" vertical="center"/>
    </xf>
    <xf numFmtId="3" fontId="63" fillId="5" borderId="0" xfId="0" applyNumberFormat="1" applyFont="1" applyFill="1" applyAlignment="1">
      <alignment horizontal="center" vertical="center"/>
    </xf>
    <xf numFmtId="0" fontId="63" fillId="5" borderId="0" xfId="0" applyFont="1" applyFill="1" applyAlignment="1">
      <alignment horizontal="center" vertical="center"/>
    </xf>
    <xf numFmtId="0" fontId="56" fillId="5" borderId="0" xfId="0" applyFont="1" applyFill="1" applyAlignment="1">
      <alignment vertical="center"/>
    </xf>
    <xf numFmtId="0" fontId="151" fillId="5" borderId="0" xfId="0" applyFont="1" applyFill="1" applyAlignment="1">
      <alignment vertical="center"/>
    </xf>
    <xf numFmtId="0" fontId="151" fillId="5" borderId="0" xfId="0" applyFont="1" applyFill="1" applyAlignment="1">
      <alignment horizontal="center" vertical="center"/>
    </xf>
    <xf numFmtId="0" fontId="151" fillId="19" borderId="2" xfId="0" applyFont="1" applyFill="1" applyBorder="1" applyAlignment="1">
      <alignment vertical="center"/>
    </xf>
    <xf numFmtId="2" fontId="113" fillId="5" borderId="5" xfId="0" applyNumberFormat="1" applyFont="1" applyFill="1" applyBorder="1" applyAlignment="1">
      <alignment horizontal="center" vertical="center"/>
    </xf>
    <xf numFmtId="169" fontId="113" fillId="5" borderId="5" xfId="0" applyNumberFormat="1" applyFont="1" applyFill="1" applyBorder="1" applyAlignment="1">
      <alignment horizontal="center" vertical="center"/>
    </xf>
    <xf numFmtId="169" fontId="63" fillId="5" borderId="2" xfId="0" applyNumberFormat="1" applyFont="1" applyFill="1" applyBorder="1" applyAlignment="1">
      <alignment horizontal="center" vertical="center"/>
    </xf>
    <xf numFmtId="2" fontId="113" fillId="5" borderId="2" xfId="0" applyNumberFormat="1" applyFont="1" applyFill="1" applyBorder="1" applyAlignment="1">
      <alignment horizontal="center" vertical="center"/>
    </xf>
    <xf numFmtId="169" fontId="113" fillId="5" borderId="2" xfId="1" applyNumberFormat="1" applyFont="1" applyFill="1" applyBorder="1" applyAlignment="1">
      <alignment horizontal="center" vertical="center"/>
    </xf>
    <xf numFmtId="1" fontId="63" fillId="5" borderId="39" xfId="63" applyNumberFormat="1" applyFont="1" applyFill="1" applyBorder="1" applyAlignment="1">
      <alignment horizontal="center" vertical="center"/>
    </xf>
    <xf numFmtId="1" fontId="63" fillId="5" borderId="40" xfId="63" applyNumberFormat="1" applyFont="1" applyFill="1" applyBorder="1" applyAlignment="1">
      <alignment horizontal="center" vertical="center"/>
    </xf>
    <xf numFmtId="168" fontId="63" fillId="5" borderId="40" xfId="0" applyNumberFormat="1" applyFont="1" applyFill="1" applyBorder="1" applyAlignment="1">
      <alignment horizontal="right" vertical="center"/>
    </xf>
    <xf numFmtId="10" fontId="1" fillId="11" borderId="86" xfId="1" applyNumberFormat="1" applyFont="1" applyFill="1" applyBorder="1" applyAlignment="1"/>
    <xf numFmtId="43" fontId="63" fillId="0" borderId="2" xfId="29" applyFont="1" applyBorder="1" applyAlignment="1">
      <alignment vertical="center"/>
    </xf>
    <xf numFmtId="205" fontId="63" fillId="0" borderId="2" xfId="59" applyNumberFormat="1" applyFont="1" applyBorder="1" applyAlignment="1">
      <alignment vertical="center"/>
    </xf>
    <xf numFmtId="0" fontId="148" fillId="5" borderId="19" xfId="0" applyFont="1" applyFill="1" applyBorder="1"/>
    <xf numFmtId="0" fontId="48" fillId="5" borderId="16" xfId="0" applyFont="1" applyFill="1" applyBorder="1" applyAlignment="1">
      <alignment horizontal="center" vertical="center" wrapText="1"/>
    </xf>
    <xf numFmtId="0" fontId="48" fillId="5" borderId="2" xfId="0" applyFont="1" applyFill="1" applyBorder="1" applyAlignment="1">
      <alignment horizontal="center" vertical="center" wrapText="1"/>
    </xf>
    <xf numFmtId="0" fontId="48" fillId="5" borderId="33" xfId="0" applyFont="1" applyFill="1" applyBorder="1" applyAlignment="1">
      <alignment horizontal="center" vertical="center" wrapText="1"/>
    </xf>
    <xf numFmtId="0" fontId="148" fillId="5" borderId="21" xfId="0" applyFont="1" applyFill="1" applyBorder="1"/>
    <xf numFmtId="0" fontId="136" fillId="5" borderId="16" xfId="20" applyFont="1" applyFill="1" applyBorder="1" applyAlignment="1">
      <alignment horizontal="left" vertical="center" wrapText="1"/>
    </xf>
    <xf numFmtId="1" fontId="136" fillId="5" borderId="2" xfId="0" applyNumberFormat="1" applyFont="1" applyFill="1" applyBorder="1" applyAlignment="1">
      <alignment horizontal="center" vertical="center"/>
    </xf>
    <xf numFmtId="1" fontId="136" fillId="5" borderId="33" xfId="0" applyNumberFormat="1" applyFont="1" applyFill="1" applyBorder="1" applyAlignment="1">
      <alignment horizontal="center" vertical="center"/>
    </xf>
    <xf numFmtId="0" fontId="136" fillId="5" borderId="16" xfId="0" applyFont="1" applyFill="1" applyBorder="1" applyAlignment="1">
      <alignment horizontal="left" vertical="center" wrapText="1"/>
    </xf>
    <xf numFmtId="0" fontId="136" fillId="5" borderId="16" xfId="0" applyFont="1" applyFill="1" applyBorder="1" applyAlignment="1">
      <alignment vertical="center" wrapText="1"/>
    </xf>
    <xf numFmtId="1" fontId="48" fillId="5" borderId="3" xfId="0" applyNumberFormat="1" applyFont="1" applyFill="1" applyBorder="1" applyAlignment="1">
      <alignment horizontal="center" vertical="center"/>
    </xf>
    <xf numFmtId="1" fontId="48" fillId="5" borderId="34" xfId="0" applyNumberFormat="1" applyFont="1" applyFill="1" applyBorder="1" applyAlignment="1">
      <alignment horizontal="center" vertical="center"/>
    </xf>
    <xf numFmtId="0" fontId="16" fillId="5" borderId="17" xfId="0" applyFont="1" applyFill="1" applyBorder="1"/>
    <xf numFmtId="0" fontId="16" fillId="5" borderId="18" xfId="0" applyFont="1" applyFill="1" applyBorder="1"/>
    <xf numFmtId="1" fontId="16" fillId="5" borderId="18" xfId="0" applyNumberFormat="1" applyFont="1" applyFill="1" applyBorder="1" applyAlignment="1">
      <alignment vertical="top"/>
    </xf>
    <xf numFmtId="0" fontId="16" fillId="5" borderId="19" xfId="0" applyFont="1" applyFill="1" applyBorder="1"/>
    <xf numFmtId="1" fontId="48" fillId="5" borderId="32" xfId="20" applyNumberFormat="1" applyFont="1" applyFill="1" applyBorder="1" applyAlignment="1">
      <alignment horizontal="center" vertical="center"/>
    </xf>
    <xf numFmtId="168" fontId="71" fillId="5" borderId="2" xfId="0" applyNumberFormat="1" applyFont="1" applyFill="1" applyBorder="1" applyAlignment="1">
      <alignment horizontal="center" vertical="center" shrinkToFit="1"/>
    </xf>
    <xf numFmtId="168" fontId="34" fillId="5" borderId="2" xfId="0" applyNumberFormat="1" applyFont="1" applyFill="1" applyBorder="1" applyAlignment="1">
      <alignment horizontal="center" vertical="center" shrinkToFit="1"/>
    </xf>
    <xf numFmtId="1" fontId="48" fillId="0" borderId="16" xfId="20" applyNumberFormat="1" applyFont="1" applyBorder="1" applyAlignment="1">
      <alignment horizontal="center" vertical="center" wrapText="1"/>
    </xf>
    <xf numFmtId="0" fontId="48" fillId="0" borderId="16" xfId="20" applyFont="1" applyBorder="1" applyAlignment="1">
      <alignment horizontal="center" vertical="center" wrapText="1"/>
    </xf>
    <xf numFmtId="0" fontId="10" fillId="5" borderId="82" xfId="0" applyFont="1" applyFill="1" applyBorder="1" applyAlignment="1">
      <alignment horizontal="justify" vertical="center"/>
    </xf>
    <xf numFmtId="10" fontId="28" fillId="0" borderId="0" xfId="1" applyNumberFormat="1" applyFont="1" applyAlignment="1">
      <alignment vertical="center"/>
    </xf>
    <xf numFmtId="2" fontId="13" fillId="0" borderId="2" xfId="0" applyNumberFormat="1" applyFont="1" applyBorder="1" applyAlignment="1">
      <alignment horizontal="center" vertical="center" wrapText="1"/>
    </xf>
    <xf numFmtId="14" fontId="3" fillId="5" borderId="2" xfId="0" applyNumberFormat="1" applyFont="1" applyFill="1" applyBorder="1" applyAlignment="1">
      <alignment horizontal="center" vertical="center"/>
    </xf>
    <xf numFmtId="0" fontId="3" fillId="5" borderId="2" xfId="0" applyFont="1" applyFill="1" applyBorder="1" applyAlignment="1">
      <alignment horizontal="center" vertical="center"/>
    </xf>
    <xf numFmtId="0" fontId="36" fillId="0" borderId="7" xfId="60" applyFont="1" applyBorder="1" applyAlignment="1">
      <alignment vertical="center"/>
    </xf>
    <xf numFmtId="0" fontId="36" fillId="0" borderId="8" xfId="60" applyFont="1" applyBorder="1" applyAlignment="1">
      <alignment vertical="center"/>
    </xf>
    <xf numFmtId="0" fontId="36" fillId="0" borderId="21" xfId="60" applyFont="1" applyBorder="1" applyAlignment="1">
      <alignment vertical="center"/>
    </xf>
    <xf numFmtId="0" fontId="23" fillId="0" borderId="0" xfId="0" applyFont="1" applyAlignment="1">
      <alignment vertical="center" wrapText="1"/>
    </xf>
    <xf numFmtId="169" fontId="10" fillId="5" borderId="2" xfId="1" applyNumberFormat="1" applyFont="1" applyFill="1" applyBorder="1" applyAlignment="1">
      <alignment horizontal="center" vertical="center" wrapText="1"/>
    </xf>
    <xf numFmtId="0" fontId="75" fillId="2" borderId="0" xfId="0" applyFont="1" applyFill="1"/>
    <xf numFmtId="0" fontId="75" fillId="5" borderId="0" xfId="0" applyFont="1" applyFill="1"/>
    <xf numFmtId="0" fontId="36" fillId="5" borderId="0" xfId="35" applyFont="1" applyFill="1" applyAlignment="1">
      <alignment horizontal="center" vertical="center" wrapText="1"/>
    </xf>
    <xf numFmtId="0" fontId="83" fillId="5" borderId="0" xfId="35" applyFont="1" applyFill="1" applyAlignment="1">
      <alignment horizontal="center" vertical="center" wrapText="1"/>
    </xf>
    <xf numFmtId="0" fontId="9" fillId="5" borderId="0" xfId="35" applyFont="1" applyFill="1" applyAlignment="1">
      <alignment horizontal="right" vertical="center"/>
    </xf>
    <xf numFmtId="0" fontId="9" fillId="5" borderId="18" xfId="35" applyFont="1" applyFill="1" applyBorder="1" applyAlignment="1">
      <alignment horizontal="right" vertical="center"/>
    </xf>
    <xf numFmtId="0" fontId="75" fillId="5" borderId="18" xfId="0" applyFont="1" applyFill="1" applyBorder="1"/>
    <xf numFmtId="0" fontId="75" fillId="5" borderId="19" xfId="0" applyFont="1" applyFill="1" applyBorder="1"/>
    <xf numFmtId="0" fontId="83" fillId="5" borderId="0" xfId="35" applyFont="1" applyFill="1" applyAlignment="1">
      <alignment horizontal="right" vertical="center" wrapText="1"/>
    </xf>
    <xf numFmtId="0" fontId="25" fillId="5" borderId="0" xfId="0" applyFont="1" applyFill="1" applyAlignment="1">
      <alignment horizontal="center" vertical="top" wrapText="1"/>
    </xf>
    <xf numFmtId="0" fontId="75" fillId="5" borderId="21" xfId="0" applyFont="1" applyFill="1" applyBorder="1"/>
    <xf numFmtId="0" fontId="83" fillId="5" borderId="9" xfId="35" applyFont="1" applyFill="1" applyBorder="1" applyAlignment="1">
      <alignment vertical="top" wrapText="1"/>
    </xf>
    <xf numFmtId="0" fontId="83" fillId="5" borderId="2" xfId="35" applyFont="1" applyFill="1" applyBorder="1" applyAlignment="1">
      <alignment horizontal="center" vertical="top" wrapText="1"/>
    </xf>
    <xf numFmtId="0" fontId="76" fillId="5" borderId="2" xfId="35" applyFont="1" applyFill="1" applyBorder="1" applyAlignment="1">
      <alignment horizontal="center" vertical="top" wrapText="1"/>
    </xf>
    <xf numFmtId="0" fontId="83" fillId="5" borderId="2" xfId="3" applyFont="1" applyFill="1" applyBorder="1" applyAlignment="1">
      <alignment horizontal="center" vertical="top" wrapText="1"/>
    </xf>
    <xf numFmtId="0" fontId="93" fillId="5" borderId="2" xfId="3" applyFont="1" applyFill="1" applyBorder="1" applyAlignment="1">
      <alignment horizontal="center" vertical="top" wrapText="1"/>
    </xf>
    <xf numFmtId="0" fontId="86" fillId="5" borderId="3" xfId="13" applyFont="1" applyFill="1" applyBorder="1" applyAlignment="1">
      <alignment horizontal="center" vertical="center" wrapText="1"/>
    </xf>
    <xf numFmtId="168" fontId="16" fillId="5" borderId="0" xfId="35" applyNumberFormat="1" applyFont="1" applyFill="1" applyAlignment="1">
      <alignment horizontal="center" vertical="center" wrapText="1"/>
    </xf>
    <xf numFmtId="168" fontId="75" fillId="5" borderId="0" xfId="0" applyNumberFormat="1" applyFont="1" applyFill="1"/>
    <xf numFmtId="0" fontId="94" fillId="5" borderId="33" xfId="0" applyFont="1" applyFill="1" applyBorder="1" applyAlignment="1">
      <alignment horizontal="left" vertical="center"/>
    </xf>
    <xf numFmtId="0" fontId="84" fillId="5" borderId="9" xfId="35" applyFont="1" applyFill="1" applyBorder="1" applyAlignment="1">
      <alignment vertical="center" wrapText="1"/>
    </xf>
    <xf numFmtId="168" fontId="84" fillId="5" borderId="2" xfId="35" applyNumberFormat="1" applyFont="1" applyFill="1" applyBorder="1" applyAlignment="1">
      <alignment horizontal="right" vertical="center" wrapText="1"/>
    </xf>
    <xf numFmtId="168" fontId="84" fillId="5" borderId="2" xfId="35" applyNumberFormat="1" applyFont="1" applyFill="1" applyBorder="1" applyAlignment="1">
      <alignment horizontal="center" vertical="center" wrapText="1"/>
    </xf>
    <xf numFmtId="168" fontId="75" fillId="5" borderId="2" xfId="35" applyNumberFormat="1" applyFont="1" applyFill="1" applyBorder="1" applyAlignment="1">
      <alignment horizontal="center" vertical="center" wrapText="1"/>
    </xf>
    <xf numFmtId="168" fontId="12" fillId="5" borderId="2" xfId="35" applyNumberFormat="1" applyFont="1" applyFill="1" applyBorder="1" applyAlignment="1">
      <alignment horizontal="center" vertical="center" wrapText="1"/>
    </xf>
    <xf numFmtId="169" fontId="12" fillId="5" borderId="2" xfId="1" applyNumberFormat="1" applyFont="1" applyFill="1" applyBorder="1" applyAlignment="1">
      <alignment horizontal="center" vertical="center" wrapText="1"/>
    </xf>
    <xf numFmtId="169" fontId="75" fillId="5" borderId="0" xfId="1" applyNumberFormat="1" applyFont="1" applyFill="1"/>
    <xf numFmtId="0" fontId="87" fillId="5" borderId="2" xfId="0" applyFont="1" applyFill="1" applyBorder="1" applyAlignment="1">
      <alignment horizontal="left" vertical="center"/>
    </xf>
    <xf numFmtId="0" fontId="84" fillId="5" borderId="2" xfId="35" applyFont="1" applyFill="1" applyBorder="1" applyAlignment="1">
      <alignment vertical="center" wrapText="1"/>
    </xf>
    <xf numFmtId="168" fontId="25" fillId="5" borderId="0" xfId="35" applyNumberFormat="1" applyFont="1" applyFill="1" applyAlignment="1">
      <alignment horizontal="center" vertical="center" wrapText="1"/>
    </xf>
    <xf numFmtId="168" fontId="25" fillId="5" borderId="23" xfId="35" applyNumberFormat="1" applyFont="1" applyFill="1" applyBorder="1" applyAlignment="1">
      <alignment horizontal="center" vertical="center" wrapText="1"/>
    </xf>
    <xf numFmtId="0" fontId="75" fillId="5" borderId="23" xfId="0" applyFont="1" applyFill="1" applyBorder="1"/>
    <xf numFmtId="0" fontId="95" fillId="5" borderId="50" xfId="0" applyFont="1" applyFill="1" applyBorder="1" applyAlignment="1">
      <alignment horizontal="left" vertical="center"/>
    </xf>
    <xf numFmtId="0" fontId="83" fillId="5" borderId="9" xfId="35" applyFont="1" applyFill="1" applyBorder="1" applyAlignment="1">
      <alignment vertical="center" wrapText="1"/>
    </xf>
    <xf numFmtId="168" fontId="83" fillId="5" borderId="2" xfId="35" applyNumberFormat="1" applyFont="1" applyFill="1" applyBorder="1" applyAlignment="1">
      <alignment horizontal="right" vertical="center" wrapText="1"/>
    </xf>
    <xf numFmtId="168" fontId="83" fillId="5" borderId="2" xfId="35" applyNumberFormat="1" applyFont="1" applyFill="1" applyBorder="1" applyAlignment="1">
      <alignment horizontal="center" vertical="center" wrapText="1"/>
    </xf>
    <xf numFmtId="169" fontId="83" fillId="5" borderId="2" xfId="1" applyNumberFormat="1" applyFont="1" applyFill="1" applyBorder="1" applyAlignment="1">
      <alignment horizontal="center" vertical="center" wrapText="1"/>
    </xf>
    <xf numFmtId="0" fontId="92" fillId="5" borderId="2" xfId="13" applyFont="1" applyFill="1" applyBorder="1" applyAlignment="1">
      <alignment horizontal="left"/>
    </xf>
    <xf numFmtId="0" fontId="83" fillId="5" borderId="2" xfId="35" applyFont="1" applyFill="1" applyBorder="1" applyAlignment="1">
      <alignment vertical="center" wrapText="1"/>
    </xf>
    <xf numFmtId="168" fontId="76" fillId="5" borderId="2" xfId="35" applyNumberFormat="1" applyFont="1" applyFill="1" applyBorder="1" applyAlignment="1">
      <alignment horizontal="center" vertical="center" wrapText="1"/>
    </xf>
    <xf numFmtId="168" fontId="96" fillId="5" borderId="2" xfId="35" applyNumberFormat="1" applyFont="1" applyFill="1" applyBorder="1" applyAlignment="1">
      <alignment horizontal="center" vertical="center" wrapText="1"/>
    </xf>
    <xf numFmtId="0" fontId="48" fillId="5" borderId="0" xfId="35" applyFont="1" applyFill="1" applyAlignment="1">
      <alignment vertical="center" wrapText="1"/>
    </xf>
    <xf numFmtId="0" fontId="48" fillId="5" borderId="18" xfId="35" applyFont="1" applyFill="1" applyBorder="1" applyAlignment="1">
      <alignment vertical="center" wrapText="1"/>
    </xf>
    <xf numFmtId="0" fontId="48" fillId="5" borderId="19" xfId="35" applyFont="1" applyFill="1" applyBorder="1" applyAlignment="1">
      <alignment vertical="center" wrapText="1"/>
    </xf>
    <xf numFmtId="0" fontId="83" fillId="5" borderId="0" xfId="35" applyFont="1" applyFill="1" applyAlignment="1">
      <alignment vertical="center" wrapText="1"/>
    </xf>
    <xf numFmtId="168" fontId="83" fillId="5" borderId="0" xfId="35" applyNumberFormat="1" applyFont="1" applyFill="1" applyAlignment="1">
      <alignment horizontal="right" vertical="center" wrapText="1"/>
    </xf>
    <xf numFmtId="168" fontId="83" fillId="5" borderId="0" xfId="35" applyNumberFormat="1" applyFont="1" applyFill="1" applyAlignment="1">
      <alignment horizontal="center" vertical="center" wrapText="1"/>
    </xf>
    <xf numFmtId="168" fontId="76" fillId="5" borderId="0" xfId="35" applyNumberFormat="1" applyFont="1" applyFill="1" applyAlignment="1">
      <alignment horizontal="center" vertical="center" wrapText="1"/>
    </xf>
    <xf numFmtId="168" fontId="96" fillId="5" borderId="0" xfId="35" applyNumberFormat="1" applyFont="1" applyFill="1" applyAlignment="1">
      <alignment horizontal="center" vertical="center" wrapText="1"/>
    </xf>
    <xf numFmtId="169" fontId="75" fillId="5" borderId="0" xfId="1" applyNumberFormat="1" applyFont="1" applyFill="1" applyBorder="1"/>
    <xf numFmtId="0" fontId="83" fillId="5" borderId="5" xfId="35" applyFont="1" applyFill="1" applyBorder="1" applyAlignment="1">
      <alignment horizontal="center" vertical="top" wrapText="1"/>
    </xf>
    <xf numFmtId="0" fontId="88" fillId="5" borderId="3" xfId="37" applyFont="1" applyFill="1" applyBorder="1" applyAlignment="1">
      <alignment horizontal="center" vertical="center"/>
    </xf>
    <xf numFmtId="0" fontId="86" fillId="5" borderId="3" xfId="36" applyFont="1" applyFill="1" applyBorder="1" applyAlignment="1">
      <alignment horizontal="center" vertical="center" wrapText="1"/>
    </xf>
    <xf numFmtId="168" fontId="75" fillId="5" borderId="2" xfId="35" applyNumberFormat="1" applyFont="1" applyFill="1" applyBorder="1" applyAlignment="1">
      <alignment horizontal="right" vertical="center" wrapText="1"/>
    </xf>
    <xf numFmtId="0" fontId="87" fillId="5" borderId="2" xfId="0" applyFont="1" applyFill="1" applyBorder="1" applyAlignment="1">
      <alignment horizontal="left" vertical="top"/>
    </xf>
    <xf numFmtId="1" fontId="98" fillId="5" borderId="2" xfId="0" applyNumberFormat="1" applyFont="1" applyFill="1" applyBorder="1" applyAlignment="1">
      <alignment horizontal="right" vertical="top" wrapText="1"/>
    </xf>
    <xf numFmtId="1" fontId="75" fillId="5" borderId="2" xfId="0" applyNumberFormat="1" applyFont="1" applyFill="1" applyBorder="1"/>
    <xf numFmtId="0" fontId="75" fillId="5" borderId="2" xfId="0" applyFont="1" applyFill="1" applyBorder="1"/>
    <xf numFmtId="0" fontId="99" fillId="5" borderId="2" xfId="0" applyFont="1" applyFill="1" applyBorder="1" applyAlignment="1">
      <alignment vertical="center"/>
    </xf>
    <xf numFmtId="168" fontId="75" fillId="5" borderId="2" xfId="0" applyNumberFormat="1" applyFont="1" applyFill="1" applyBorder="1" applyAlignment="1">
      <alignment horizontal="right" vertical="center" wrapText="1"/>
    </xf>
    <xf numFmtId="0" fontId="75" fillId="5" borderId="24" xfId="0" applyFont="1" applyFill="1" applyBorder="1"/>
    <xf numFmtId="168" fontId="13" fillId="0" borderId="16" xfId="0" applyNumberFormat="1" applyFont="1" applyBorder="1" applyAlignment="1">
      <alignment horizontal="center" vertical="center" wrapText="1"/>
    </xf>
    <xf numFmtId="168" fontId="36" fillId="2" borderId="33" xfId="0" applyNumberFormat="1" applyFont="1" applyFill="1" applyBorder="1" applyAlignment="1">
      <alignment horizontal="center" vertical="center"/>
    </xf>
    <xf numFmtId="169" fontId="34" fillId="5" borderId="33" xfId="1" applyNumberFormat="1" applyFont="1" applyFill="1" applyBorder="1" applyAlignment="1">
      <alignment horizontal="center" vertical="center"/>
    </xf>
    <xf numFmtId="0" fontId="7" fillId="24" borderId="0" xfId="0" applyFont="1" applyFill="1"/>
    <xf numFmtId="201" fontId="7" fillId="0" borderId="0" xfId="0" applyNumberFormat="1" applyFont="1" applyAlignment="1">
      <alignment horizontal="center"/>
    </xf>
    <xf numFmtId="201" fontId="7" fillId="0" borderId="2" xfId="0" applyNumberFormat="1" applyFont="1" applyBorder="1" applyAlignment="1">
      <alignment horizontal="center" vertical="center"/>
    </xf>
    <xf numFmtId="0" fontId="7" fillId="5" borderId="2" xfId="0" applyFont="1" applyFill="1" applyBorder="1" applyAlignment="1">
      <alignment horizontal="left" vertical="center" wrapText="1"/>
    </xf>
    <xf numFmtId="2" fontId="75" fillId="0" borderId="0" xfId="1" applyNumberFormat="1" applyFont="1" applyAlignment="1">
      <alignment vertical="center"/>
    </xf>
    <xf numFmtId="1" fontId="75" fillId="0" borderId="0" xfId="1" applyNumberFormat="1" applyFont="1" applyAlignment="1">
      <alignment vertical="center"/>
    </xf>
    <xf numFmtId="166" fontId="58" fillId="5" borderId="3" xfId="3" applyNumberFormat="1" applyFont="1" applyFill="1" applyBorder="1" applyAlignment="1">
      <alignment horizontal="left" vertical="center" wrapText="1"/>
    </xf>
    <xf numFmtId="166" fontId="58" fillId="5" borderId="3" xfId="3" applyNumberFormat="1" applyFont="1" applyFill="1" applyBorder="1" applyAlignment="1">
      <alignment horizontal="center" vertical="center" wrapText="1"/>
    </xf>
    <xf numFmtId="168" fontId="58" fillId="5" borderId="10" xfId="0" applyNumberFormat="1" applyFont="1" applyFill="1" applyBorder="1" applyAlignment="1">
      <alignment horizontal="right" vertical="center" wrapText="1"/>
    </xf>
    <xf numFmtId="168" fontId="35" fillId="5" borderId="10" xfId="0" applyNumberFormat="1" applyFont="1" applyFill="1" applyBorder="1" applyAlignment="1">
      <alignment horizontal="center" vertical="center" wrapText="1"/>
    </xf>
    <xf numFmtId="168" fontId="58" fillId="5" borderId="3" xfId="0" applyNumberFormat="1" applyFont="1" applyFill="1" applyBorder="1" applyAlignment="1">
      <alignment horizontal="center" vertical="center" wrapText="1"/>
    </xf>
    <xf numFmtId="170" fontId="58" fillId="5" borderId="10" xfId="3" applyNumberFormat="1" applyFont="1" applyFill="1" applyBorder="1" applyAlignment="1">
      <alignment horizontal="center" vertical="center" wrapText="1"/>
    </xf>
    <xf numFmtId="0" fontId="71" fillId="5" borderId="0" xfId="0" applyFont="1" applyFill="1" applyAlignment="1">
      <alignment horizontal="center" wrapText="1"/>
    </xf>
    <xf numFmtId="170" fontId="58" fillId="5" borderId="3" xfId="3" applyNumberFormat="1" applyFont="1" applyFill="1" applyBorder="1" applyAlignment="1">
      <alignment horizontal="center" vertical="center" wrapText="1"/>
    </xf>
    <xf numFmtId="170" fontId="71" fillId="5" borderId="2" xfId="3" applyNumberFormat="1" applyFont="1" applyFill="1" applyBorder="1" applyAlignment="1">
      <alignment horizontal="center" vertical="center" wrapText="1"/>
    </xf>
    <xf numFmtId="166" fontId="58" fillId="5" borderId="2" xfId="3" applyNumberFormat="1" applyFont="1" applyFill="1" applyBorder="1" applyAlignment="1">
      <alignment horizontal="left" vertical="center" wrapText="1"/>
    </xf>
    <xf numFmtId="166" fontId="58" fillId="5" borderId="2" xfId="3" applyNumberFormat="1" applyFont="1" applyFill="1" applyBorder="1" applyAlignment="1">
      <alignment horizontal="center" vertical="center" wrapText="1"/>
    </xf>
    <xf numFmtId="170" fontId="58" fillId="5" borderId="2" xfId="0" applyNumberFormat="1" applyFont="1" applyFill="1" applyBorder="1" applyAlignment="1">
      <alignment horizontal="right" vertical="center" wrapText="1"/>
    </xf>
    <xf numFmtId="170" fontId="35" fillId="5" borderId="2" xfId="0" applyNumberFormat="1" applyFont="1" applyFill="1" applyBorder="1" applyAlignment="1">
      <alignment horizontal="center" vertical="center" wrapText="1"/>
    </xf>
    <xf numFmtId="170" fontId="58" fillId="5" borderId="2" xfId="3" applyNumberFormat="1" applyFont="1" applyFill="1" applyBorder="1" applyAlignment="1">
      <alignment horizontal="center" vertical="center" wrapText="1"/>
    </xf>
    <xf numFmtId="168" fontId="71" fillId="5" borderId="2" xfId="0" applyNumberFormat="1" applyFont="1" applyFill="1" applyBorder="1" applyAlignment="1">
      <alignment horizontal="center" wrapText="1"/>
    </xf>
    <xf numFmtId="0" fontId="71" fillId="5" borderId="2" xfId="0" applyFont="1" applyFill="1" applyBorder="1" applyAlignment="1">
      <alignment horizontal="center" wrapText="1"/>
    </xf>
    <xf numFmtId="170" fontId="58" fillId="5" borderId="7" xfId="3" applyNumberFormat="1" applyFont="1" applyFill="1" applyBorder="1" applyAlignment="1">
      <alignment horizontal="center" vertical="center" wrapText="1"/>
    </xf>
    <xf numFmtId="170" fontId="58" fillId="5" borderId="2" xfId="3" applyNumberFormat="1" applyFont="1" applyFill="1" applyBorder="1" applyAlignment="1">
      <alignment horizontal="right" vertical="center" wrapText="1"/>
    </xf>
    <xf numFmtId="170" fontId="35" fillId="5" borderId="2" xfId="3" applyNumberFormat="1" applyFont="1" applyFill="1" applyBorder="1" applyAlignment="1">
      <alignment horizontal="center" vertical="center" wrapText="1"/>
    </xf>
    <xf numFmtId="170" fontId="58" fillId="5" borderId="5" xfId="3" applyNumberFormat="1" applyFont="1" applyFill="1" applyBorder="1" applyAlignment="1">
      <alignment horizontal="left" vertical="center" wrapText="1"/>
    </xf>
    <xf numFmtId="166" fontId="58" fillId="5" borderId="5" xfId="3" applyNumberFormat="1" applyFont="1" applyFill="1" applyBorder="1" applyAlignment="1">
      <alignment horizontal="left" vertical="center" wrapText="1" shrinkToFit="1"/>
    </xf>
    <xf numFmtId="170" fontId="58" fillId="5" borderId="5" xfId="3" applyNumberFormat="1" applyFont="1" applyFill="1" applyBorder="1" applyAlignment="1">
      <alignment horizontal="center" vertical="center" wrapText="1"/>
    </xf>
    <xf numFmtId="170" fontId="58" fillId="5" borderId="5" xfId="3" applyNumberFormat="1" applyFont="1" applyFill="1" applyBorder="1" applyAlignment="1">
      <alignment horizontal="right" vertical="center" wrapText="1"/>
    </xf>
    <xf numFmtId="170" fontId="35" fillId="5" borderId="5" xfId="3" applyNumberFormat="1" applyFont="1" applyFill="1" applyBorder="1" applyAlignment="1">
      <alignment horizontal="center" vertical="center" wrapText="1"/>
    </xf>
    <xf numFmtId="170" fontId="58" fillId="5" borderId="11" xfId="3" applyNumberFormat="1" applyFont="1" applyFill="1" applyBorder="1" applyAlignment="1">
      <alignment horizontal="center" vertical="center" wrapText="1"/>
    </xf>
    <xf numFmtId="170" fontId="58" fillId="5" borderId="2" xfId="3" applyNumberFormat="1" applyFont="1" applyFill="1" applyBorder="1" applyAlignment="1">
      <alignment horizontal="left" vertical="center" wrapText="1"/>
    </xf>
    <xf numFmtId="166" fontId="58" fillId="5" borderId="2" xfId="3" applyNumberFormat="1" applyFont="1" applyFill="1" applyBorder="1" applyAlignment="1">
      <alignment horizontal="left" vertical="center" wrapText="1" shrinkToFit="1"/>
    </xf>
    <xf numFmtId="170" fontId="58" fillId="5" borderId="2" xfId="7" applyNumberFormat="1" applyFont="1" applyFill="1" applyBorder="1" applyAlignment="1">
      <alignment horizontal="right" vertical="center" wrapText="1"/>
    </xf>
    <xf numFmtId="170" fontId="35" fillId="5" borderId="2" xfId="7" applyNumberFormat="1" applyFont="1" applyFill="1" applyBorder="1" applyAlignment="1">
      <alignment horizontal="center" vertical="center" wrapText="1"/>
    </xf>
    <xf numFmtId="170" fontId="58" fillId="5" borderId="2" xfId="7" applyNumberFormat="1" applyFont="1" applyFill="1" applyBorder="1" applyAlignment="1">
      <alignment horizontal="center" vertical="center" wrapText="1"/>
    </xf>
    <xf numFmtId="168" fontId="71" fillId="5" borderId="2" xfId="1" applyNumberFormat="1" applyFont="1" applyFill="1" applyBorder="1" applyAlignment="1">
      <alignment horizontal="center" vertical="center" wrapText="1"/>
    </xf>
    <xf numFmtId="0" fontId="10" fillId="5" borderId="82" xfId="0" applyFont="1" applyFill="1" applyBorder="1" applyAlignment="1">
      <alignment horizontal="justify" vertical="center" wrapText="1"/>
    </xf>
    <xf numFmtId="0" fontId="10" fillId="5" borderId="83" xfId="0" applyFont="1" applyFill="1" applyBorder="1" applyAlignment="1">
      <alignment horizontal="justify" vertical="center" wrapText="1"/>
    </xf>
    <xf numFmtId="0" fontId="58" fillId="5" borderId="16" xfId="16" applyFont="1" applyFill="1" applyBorder="1" applyAlignment="1">
      <alignment vertical="center"/>
    </xf>
    <xf numFmtId="0" fontId="23" fillId="5" borderId="7" xfId="0" applyFont="1" applyFill="1" applyBorder="1" applyAlignment="1">
      <alignment horizontal="center" vertical="center" wrapText="1"/>
    </xf>
    <xf numFmtId="1" fontId="58" fillId="5" borderId="2" xfId="0" applyNumberFormat="1" applyFont="1" applyFill="1" applyBorder="1" applyAlignment="1">
      <alignment horizontal="center" vertical="center"/>
    </xf>
    <xf numFmtId="1" fontId="71" fillId="5" borderId="7" xfId="0" applyNumberFormat="1" applyFont="1" applyFill="1" applyBorder="1" applyAlignment="1">
      <alignment horizontal="center" vertical="center"/>
    </xf>
    <xf numFmtId="0" fontId="58" fillId="5" borderId="16" xfId="16" applyFont="1" applyFill="1" applyBorder="1" applyAlignment="1">
      <alignment vertical="center" wrapText="1"/>
    </xf>
    <xf numFmtId="0" fontId="23" fillId="5" borderId="16" xfId="16" applyFont="1" applyFill="1" applyBorder="1" applyAlignment="1">
      <alignment vertical="center" wrapText="1"/>
    </xf>
    <xf numFmtId="168" fontId="23" fillId="5" borderId="2" xfId="16" applyNumberFormat="1" applyFont="1" applyFill="1" applyBorder="1" applyAlignment="1">
      <alignment horizontal="center" vertical="center"/>
    </xf>
    <xf numFmtId="168" fontId="23" fillId="5" borderId="7" xfId="16" applyNumberFormat="1" applyFont="1" applyFill="1" applyBorder="1" applyAlignment="1">
      <alignment horizontal="center" vertical="center"/>
    </xf>
    <xf numFmtId="168" fontId="34" fillId="5" borderId="2" xfId="16" applyNumberFormat="1" applyFont="1" applyFill="1" applyBorder="1" applyAlignment="1">
      <alignment horizontal="center" vertical="center"/>
    </xf>
    <xf numFmtId="0" fontId="227" fillId="5" borderId="0" xfId="0" applyFont="1" applyFill="1"/>
    <xf numFmtId="0" fontId="202" fillId="5" borderId="2" xfId="0" applyFont="1" applyFill="1" applyBorder="1" applyAlignment="1">
      <alignment horizontal="center" vertical="center" textRotation="90" wrapText="1"/>
    </xf>
    <xf numFmtId="1" fontId="7" fillId="5" borderId="2" xfId="61" applyNumberFormat="1" applyFont="1" applyFill="1" applyBorder="1" applyAlignment="1">
      <alignment horizontal="center" vertical="center"/>
    </xf>
    <xf numFmtId="0" fontId="1" fillId="5" borderId="2" xfId="0" applyFont="1" applyFill="1" applyBorder="1" applyAlignment="1">
      <alignment horizontal="center" vertical="center"/>
    </xf>
    <xf numFmtId="1" fontId="13" fillId="5" borderId="2" xfId="61" applyNumberFormat="1" applyFont="1" applyFill="1" applyBorder="1" applyAlignment="1">
      <alignment horizontal="center" vertical="center"/>
    </xf>
    <xf numFmtId="0" fontId="71" fillId="5" borderId="16" xfId="0" applyFont="1" applyFill="1" applyBorder="1" applyAlignment="1">
      <alignment horizontal="left" vertical="center"/>
    </xf>
    <xf numFmtId="3" fontId="71" fillId="5" borderId="2" xfId="0" applyNumberFormat="1" applyFont="1" applyFill="1" applyBorder="1" applyAlignment="1">
      <alignment horizontal="center" vertical="center"/>
    </xf>
    <xf numFmtId="177" fontId="71" fillId="5" borderId="33" xfId="0" applyNumberFormat="1" applyFont="1" applyFill="1" applyBorder="1" applyAlignment="1">
      <alignment horizontal="center" vertical="center"/>
    </xf>
    <xf numFmtId="0" fontId="130" fillId="5" borderId="2" xfId="0" applyFont="1" applyFill="1" applyBorder="1" applyAlignment="1" applyProtection="1">
      <alignment horizontal="left" vertical="center" wrapText="1"/>
      <protection locked="0"/>
    </xf>
    <xf numFmtId="2" fontId="130" fillId="5" borderId="2" xfId="0" applyNumberFormat="1" applyFont="1" applyFill="1" applyBorder="1" applyAlignment="1" applyProtection="1">
      <alignment horizontal="center" vertical="center"/>
      <protection locked="0"/>
    </xf>
    <xf numFmtId="0" fontId="15" fillId="5" borderId="2" xfId="0" applyFont="1" applyFill="1" applyBorder="1" applyAlignment="1">
      <alignment horizontal="center" vertical="center" wrapText="1"/>
    </xf>
    <xf numFmtId="0" fontId="15" fillId="5" borderId="2" xfId="0" applyFont="1" applyFill="1" applyBorder="1" applyAlignment="1">
      <alignment horizontal="left" vertical="top" wrapText="1"/>
    </xf>
    <xf numFmtId="0" fontId="54" fillId="25" borderId="2" xfId="82" applyFont="1" applyFill="1" applyBorder="1" applyAlignment="1">
      <alignment horizontal="center" vertical="center"/>
    </xf>
    <xf numFmtId="0" fontId="54" fillId="25" borderId="2" xfId="82" applyFont="1" applyFill="1" applyBorder="1" applyAlignment="1">
      <alignment horizontal="center" vertical="center" wrapText="1"/>
    </xf>
    <xf numFmtId="0" fontId="225" fillId="25" borderId="2" xfId="82" applyFont="1" applyFill="1" applyBorder="1" applyAlignment="1">
      <alignment horizontal="left" vertical="center"/>
    </xf>
    <xf numFmtId="0" fontId="225" fillId="25" borderId="2" xfId="82" applyFont="1" applyFill="1" applyBorder="1" applyAlignment="1">
      <alignment horizontal="center" vertical="center" wrapText="1"/>
    </xf>
    <xf numFmtId="0" fontId="68" fillId="5" borderId="2" xfId="82" applyFont="1" applyFill="1" applyBorder="1" applyAlignment="1">
      <alignment horizontal="left" vertical="top"/>
    </xf>
    <xf numFmtId="168" fontId="68" fillId="5" borderId="2" xfId="82" applyNumberFormat="1" applyFont="1" applyFill="1" applyBorder="1" applyAlignment="1">
      <alignment horizontal="center" vertical="top"/>
    </xf>
    <xf numFmtId="0" fontId="151" fillId="5" borderId="2" xfId="82" applyFont="1" applyFill="1" applyBorder="1" applyAlignment="1">
      <alignment horizontal="center" vertical="top"/>
    </xf>
    <xf numFmtId="168" fontId="151" fillId="5" borderId="2" xfId="82" applyNumberFormat="1" applyFont="1" applyFill="1" applyBorder="1" applyAlignment="1">
      <alignment horizontal="center" vertical="top"/>
    </xf>
    <xf numFmtId="0" fontId="191" fillId="5" borderId="2" xfId="0" applyFont="1" applyFill="1" applyBorder="1" applyAlignment="1">
      <alignment horizontal="left" vertical="center" wrapText="1" readingOrder="1"/>
    </xf>
    <xf numFmtId="0" fontId="10" fillId="5" borderId="2" xfId="24" applyFont="1" applyFill="1" applyBorder="1" applyAlignment="1">
      <alignment horizontal="center" vertical="center" wrapText="1"/>
    </xf>
    <xf numFmtId="0" fontId="10" fillId="5" borderId="2" xfId="25" applyFont="1" applyFill="1" applyBorder="1" applyAlignment="1">
      <alignment vertical="center"/>
    </xf>
    <xf numFmtId="168" fontId="10" fillId="5" borderId="2" xfId="24" applyNumberFormat="1" applyFont="1" applyFill="1" applyBorder="1" applyAlignment="1">
      <alignment horizontal="center" vertical="center" wrapText="1"/>
    </xf>
    <xf numFmtId="168" fontId="15" fillId="5" borderId="2" xfId="24" applyNumberFormat="1" applyFont="1" applyFill="1" applyBorder="1" applyAlignment="1">
      <alignment horizontal="center" vertical="center" wrapText="1"/>
    </xf>
    <xf numFmtId="0" fontId="10" fillId="5" borderId="2" xfId="24" applyFont="1" applyFill="1" applyBorder="1" applyAlignment="1">
      <alignment vertical="center" wrapText="1"/>
    </xf>
    <xf numFmtId="0" fontId="9" fillId="5" borderId="2" xfId="24" applyFont="1" applyFill="1" applyBorder="1" applyAlignment="1">
      <alignment horizontal="left" vertical="center" wrapText="1"/>
    </xf>
    <xf numFmtId="168" fontId="9" fillId="5" borderId="2" xfId="24" applyNumberFormat="1" applyFont="1" applyFill="1" applyBorder="1" applyAlignment="1">
      <alignment horizontal="center" vertical="center" wrapText="1"/>
    </xf>
    <xf numFmtId="168" fontId="36" fillId="5" borderId="2" xfId="24" applyNumberFormat="1" applyFont="1" applyFill="1" applyBorder="1" applyAlignment="1">
      <alignment horizontal="center" vertical="center" wrapText="1"/>
    </xf>
    <xf numFmtId="0" fontId="36" fillId="5" borderId="0" xfId="0" applyFont="1" applyFill="1"/>
    <xf numFmtId="0" fontId="10" fillId="5" borderId="0" xfId="0" applyFont="1" applyFill="1" applyAlignment="1">
      <alignment vertical="center"/>
    </xf>
    <xf numFmtId="0" fontId="10" fillId="5" borderId="0" xfId="0" applyFont="1" applyFill="1" applyAlignment="1">
      <alignment horizontal="center" vertical="center"/>
    </xf>
    <xf numFmtId="185" fontId="10" fillId="5" borderId="0" xfId="0" applyNumberFormat="1" applyFont="1" applyFill="1" applyAlignment="1">
      <alignment horizontal="center" vertical="center"/>
    </xf>
    <xf numFmtId="189" fontId="15" fillId="5" borderId="0" xfId="0" applyNumberFormat="1" applyFont="1" applyFill="1"/>
    <xf numFmtId="0" fontId="10" fillId="5" borderId="0" xfId="24" applyFont="1" applyFill="1" applyAlignment="1">
      <alignment vertical="center"/>
    </xf>
    <xf numFmtId="190" fontId="10" fillId="5" borderId="0" xfId="0" applyNumberFormat="1" applyFont="1" applyFill="1" applyAlignment="1">
      <alignment horizontal="center" vertical="center"/>
    </xf>
    <xf numFmtId="0" fontId="9" fillId="5" borderId="2" xfId="24" applyFont="1" applyFill="1" applyBorder="1" applyAlignment="1">
      <alignment horizontal="center" vertical="center" wrapText="1"/>
    </xf>
    <xf numFmtId="0" fontId="36" fillId="5" borderId="2" xfId="24" applyFont="1" applyFill="1" applyBorder="1" applyAlignment="1">
      <alignment horizontal="center" vertical="center" wrapText="1"/>
    </xf>
    <xf numFmtId="0" fontId="36" fillId="5" borderId="2" xfId="0" applyFont="1" applyFill="1" applyBorder="1" applyAlignment="1">
      <alignment horizontal="center" vertical="center" wrapText="1"/>
    </xf>
    <xf numFmtId="168" fontId="10" fillId="5" borderId="9" xfId="24" applyNumberFormat="1" applyFont="1" applyFill="1" applyBorder="1" applyAlignment="1">
      <alignment horizontal="center" vertical="center" wrapText="1"/>
    </xf>
    <xf numFmtId="168" fontId="15" fillId="5" borderId="9" xfId="24" applyNumberFormat="1" applyFont="1" applyFill="1" applyBorder="1" applyAlignment="1">
      <alignment horizontal="center" vertical="center" wrapText="1"/>
    </xf>
    <xf numFmtId="169" fontId="10" fillId="5" borderId="2" xfId="26" applyNumberFormat="1" applyFont="1" applyFill="1" applyBorder="1" applyAlignment="1">
      <alignment horizontal="center" vertical="center" wrapText="1"/>
    </xf>
    <xf numFmtId="169" fontId="15" fillId="5" borderId="2" xfId="26" applyNumberFormat="1" applyFont="1" applyFill="1" applyBorder="1" applyAlignment="1">
      <alignment horizontal="center" vertical="center" wrapText="1"/>
    </xf>
    <xf numFmtId="169" fontId="15" fillId="5" borderId="2" xfId="1" applyNumberFormat="1" applyFont="1" applyFill="1" applyBorder="1" applyAlignment="1">
      <alignment horizontal="center" vertical="center"/>
    </xf>
    <xf numFmtId="0" fontId="10" fillId="5" borderId="0" xfId="24" applyFont="1" applyFill="1" applyAlignment="1">
      <alignment horizontal="left" vertical="center" wrapText="1"/>
    </xf>
    <xf numFmtId="169" fontId="9" fillId="5" borderId="0" xfId="26" applyNumberFormat="1" applyFont="1" applyFill="1" applyBorder="1" applyAlignment="1">
      <alignment horizontal="center" vertical="center" wrapText="1"/>
    </xf>
    <xf numFmtId="0" fontId="10" fillId="5" borderId="0" xfId="24" applyFont="1" applyFill="1" applyAlignment="1">
      <alignment horizontal="center" vertical="center" wrapText="1"/>
    </xf>
    <xf numFmtId="191" fontId="10" fillId="5" borderId="0" xfId="24" applyNumberFormat="1" applyFont="1" applyFill="1" applyAlignment="1">
      <alignment horizontal="center" vertical="center" wrapText="1"/>
    </xf>
    <xf numFmtId="0" fontId="10" fillId="5" borderId="0" xfId="24" applyFont="1" applyFill="1" applyAlignment="1">
      <alignment vertical="center" wrapText="1"/>
    </xf>
    <xf numFmtId="168" fontId="130" fillId="5" borderId="33" xfId="26" applyNumberFormat="1" applyFont="1" applyFill="1" applyBorder="1" applyAlignment="1">
      <alignment horizontal="center" vertical="center"/>
    </xf>
    <xf numFmtId="168" fontId="33" fillId="5" borderId="33" xfId="24" applyNumberFormat="1" applyFont="1" applyFill="1" applyBorder="1" applyAlignment="1">
      <alignment horizontal="center" vertical="center"/>
    </xf>
    <xf numFmtId="49" fontId="15" fillId="5" borderId="2" xfId="31" applyNumberFormat="1" applyFont="1" applyFill="1" applyBorder="1" applyAlignment="1">
      <alignment horizontal="left" vertical="center" wrapText="1"/>
    </xf>
    <xf numFmtId="49" fontId="10" fillId="5" borderId="12" xfId="31" applyNumberFormat="1" applyFont="1" applyFill="1" applyBorder="1" applyAlignment="1">
      <alignment horizontal="left" vertical="center" wrapText="1"/>
    </xf>
    <xf numFmtId="2" fontId="10" fillId="5" borderId="12" xfId="31" applyNumberFormat="1" applyFont="1" applyFill="1" applyBorder="1" applyAlignment="1">
      <alignment horizontal="center" vertical="center"/>
    </xf>
    <xf numFmtId="0" fontId="188" fillId="5" borderId="0" xfId="0" applyFont="1" applyFill="1" applyAlignment="1">
      <alignment horizontal="left" vertical="center" wrapText="1" indent="2" readingOrder="1"/>
    </xf>
    <xf numFmtId="168" fontId="15" fillId="5" borderId="7" xfId="35" applyNumberFormat="1" applyFont="1" applyFill="1" applyBorder="1" applyAlignment="1">
      <alignment horizontal="center" vertical="center" wrapText="1"/>
    </xf>
    <xf numFmtId="168" fontId="36" fillId="5" borderId="7" xfId="35" applyNumberFormat="1" applyFont="1" applyFill="1" applyBorder="1" applyAlignment="1">
      <alignment horizontal="center" vertical="center" wrapText="1"/>
    </xf>
    <xf numFmtId="0" fontId="10" fillId="5" borderId="16" xfId="35" applyFont="1" applyFill="1" applyBorder="1" applyAlignment="1">
      <alignment vertical="center" wrapText="1"/>
    </xf>
    <xf numFmtId="0" fontId="36" fillId="5" borderId="49" xfId="35" applyFont="1" applyFill="1" applyBorder="1" applyAlignment="1">
      <alignment vertical="center" wrapText="1"/>
    </xf>
    <xf numFmtId="0" fontId="84" fillId="5" borderId="0" xfId="35" applyFont="1" applyFill="1" applyAlignment="1">
      <alignment vertical="center" wrapText="1"/>
    </xf>
    <xf numFmtId="169" fontId="15" fillId="5" borderId="44" xfId="1" applyNumberFormat="1" applyFont="1" applyFill="1" applyBorder="1" applyAlignment="1">
      <alignment horizontal="center" vertical="center" wrapText="1"/>
    </xf>
    <xf numFmtId="0" fontId="12" fillId="0" borderId="2" xfId="0" applyFont="1" applyBorder="1" applyAlignment="1">
      <alignment vertical="center"/>
    </xf>
    <xf numFmtId="168" fontId="12" fillId="0" borderId="2" xfId="0" applyNumberFormat="1" applyFont="1" applyBorder="1" applyAlignment="1">
      <alignment horizontal="center" vertical="center" wrapText="1"/>
    </xf>
    <xf numFmtId="168" fontId="44" fillId="0" borderId="2" xfId="0" applyNumberFormat="1" applyFont="1" applyBorder="1" applyAlignment="1">
      <alignment horizontal="left" vertical="center" wrapText="1"/>
    </xf>
    <xf numFmtId="168" fontId="44" fillId="0" borderId="2" xfId="0" applyNumberFormat="1" applyFont="1" applyBorder="1" applyAlignment="1">
      <alignment horizontal="center" vertical="center" wrapText="1"/>
    </xf>
    <xf numFmtId="0" fontId="38" fillId="5" borderId="20" xfId="0" quotePrefix="1" applyFont="1" applyFill="1" applyBorder="1" applyAlignment="1">
      <alignment horizontal="left" vertical="center"/>
    </xf>
    <xf numFmtId="0" fontId="77" fillId="5" borderId="0" xfId="0" applyFont="1" applyFill="1" applyAlignment="1">
      <alignment horizontal="center" vertical="center"/>
    </xf>
    <xf numFmtId="0" fontId="38" fillId="5" borderId="0" xfId="0" applyFont="1" applyFill="1" applyAlignment="1">
      <alignment horizontal="center" vertical="center"/>
    </xf>
    <xf numFmtId="43" fontId="2" fillId="5" borderId="0" xfId="9" applyFont="1" applyFill="1" applyAlignment="1">
      <alignment horizontal="center"/>
    </xf>
    <xf numFmtId="0" fontId="2" fillId="5" borderId="0" xfId="0" applyFont="1" applyFill="1" applyAlignment="1">
      <alignment horizontal="center"/>
    </xf>
    <xf numFmtId="0" fontId="2" fillId="5" borderId="0" xfId="0" applyFont="1" applyFill="1"/>
    <xf numFmtId="168" fontId="7" fillId="5" borderId="2" xfId="0" applyNumberFormat="1" applyFont="1" applyFill="1" applyBorder="1" applyAlignment="1">
      <alignment horizontal="center" vertical="center"/>
    </xf>
    <xf numFmtId="2" fontId="13" fillId="5" borderId="2" xfId="0" applyNumberFormat="1" applyFont="1" applyFill="1" applyBorder="1" applyAlignment="1">
      <alignment horizontal="center" vertical="center" wrapText="1"/>
    </xf>
    <xf numFmtId="168" fontId="13" fillId="5" borderId="2" xfId="0" applyNumberFormat="1" applyFont="1" applyFill="1" applyBorder="1" applyAlignment="1">
      <alignment horizontal="center" vertical="center" wrapText="1"/>
    </xf>
    <xf numFmtId="168" fontId="45" fillId="5" borderId="12" xfId="0" applyNumberFormat="1" applyFont="1" applyFill="1" applyBorder="1" applyAlignment="1">
      <alignment horizontal="center" vertical="center" wrapText="1"/>
    </xf>
    <xf numFmtId="0" fontId="77" fillId="5" borderId="0" xfId="0" applyFont="1" applyFill="1" applyAlignment="1">
      <alignment horizontal="center"/>
    </xf>
    <xf numFmtId="1" fontId="9" fillId="5" borderId="2" xfId="0" applyNumberFormat="1" applyFont="1" applyFill="1" applyBorder="1" applyAlignment="1">
      <alignment horizontal="center" vertical="center"/>
    </xf>
    <xf numFmtId="41" fontId="25" fillId="5" borderId="2" xfId="39" applyFont="1" applyFill="1" applyBorder="1" applyAlignment="1">
      <alignment horizontal="center" vertical="center"/>
    </xf>
    <xf numFmtId="168" fontId="10" fillId="5" borderId="2" xfId="0" applyNumberFormat="1" applyFont="1" applyFill="1" applyBorder="1" applyAlignment="1">
      <alignment horizontal="center" vertical="center"/>
    </xf>
    <xf numFmtId="9" fontId="9" fillId="5" borderId="2" xfId="1" applyFont="1" applyFill="1" applyBorder="1" applyAlignment="1">
      <alignment horizontal="center" vertical="center"/>
    </xf>
    <xf numFmtId="0" fontId="226" fillId="5" borderId="2" xfId="0" applyFont="1" applyFill="1" applyBorder="1" applyAlignment="1">
      <alignment horizontal="justify" vertical="center"/>
    </xf>
    <xf numFmtId="0" fontId="226" fillId="5" borderId="2" xfId="0" applyFont="1" applyFill="1" applyBorder="1" applyAlignment="1">
      <alignment horizontal="left" vertical="center" indent="5"/>
    </xf>
    <xf numFmtId="0" fontId="10" fillId="5" borderId="2" xfId="0" applyFont="1" applyFill="1" applyBorder="1" applyAlignment="1">
      <alignment horizontal="justify" vertical="center"/>
    </xf>
    <xf numFmtId="49" fontId="63" fillId="5" borderId="2" xfId="31" applyNumberFormat="1" applyFont="1" applyFill="1" applyBorder="1" applyAlignment="1">
      <alignment horizontal="left" vertical="center" wrapText="1"/>
    </xf>
    <xf numFmtId="0" fontId="3" fillId="5" borderId="2" xfId="51" applyFont="1" applyFill="1" applyBorder="1" applyAlignment="1">
      <alignment vertical="center"/>
    </xf>
    <xf numFmtId="0" fontId="3" fillId="5" borderId="2" xfId="51" applyFont="1" applyFill="1" applyBorder="1" applyAlignment="1">
      <alignment horizontal="center" vertical="center"/>
    </xf>
    <xf numFmtId="2" fontId="113" fillId="5" borderId="2" xfId="49" applyNumberFormat="1" applyFont="1" applyFill="1" applyBorder="1" applyAlignment="1">
      <alignment horizontal="center" vertical="center"/>
    </xf>
    <xf numFmtId="2" fontId="63" fillId="5" borderId="2" xfId="49" applyNumberFormat="1" applyFont="1" applyFill="1" applyBorder="1" applyAlignment="1">
      <alignment horizontal="center" vertical="center"/>
    </xf>
    <xf numFmtId="2" fontId="113" fillId="5" borderId="2" xfId="35" applyNumberFormat="1" applyFont="1" applyFill="1" applyBorder="1" applyAlignment="1">
      <alignment horizontal="center" vertical="center" wrapText="1"/>
    </xf>
    <xf numFmtId="204" fontId="63" fillId="5" borderId="2" xfId="0" applyNumberFormat="1" applyFont="1" applyFill="1" applyBorder="1" applyAlignment="1">
      <alignment horizontal="center"/>
    </xf>
    <xf numFmtId="165" fontId="63" fillId="5" borderId="2" xfId="63" applyFont="1" applyFill="1" applyBorder="1"/>
    <xf numFmtId="164" fontId="1" fillId="5" borderId="2" xfId="72" applyFont="1" applyFill="1" applyBorder="1"/>
    <xf numFmtId="0" fontId="113" fillId="5" borderId="39" xfId="0" applyFont="1" applyFill="1" applyBorder="1" applyAlignment="1">
      <alignment horizontal="left" indent="3"/>
    </xf>
    <xf numFmtId="0" fontId="3" fillId="5" borderId="39" xfId="0" applyFont="1" applyFill="1" applyBorder="1" applyAlignment="1">
      <alignment horizontal="center" vertical="center"/>
    </xf>
    <xf numFmtId="2" fontId="63" fillId="5" borderId="2" xfId="0" applyNumberFormat="1" applyFont="1" applyFill="1" applyBorder="1" applyAlignment="1">
      <alignment horizontal="center" wrapText="1"/>
    </xf>
    <xf numFmtId="0" fontId="113" fillId="5" borderId="2" xfId="0" applyFont="1" applyFill="1" applyBorder="1" applyAlignment="1">
      <alignment horizontal="left" indent="3"/>
    </xf>
    <xf numFmtId="2" fontId="113" fillId="5" borderId="2" xfId="0" applyNumberFormat="1" applyFont="1" applyFill="1" applyBorder="1" applyAlignment="1">
      <alignment horizontal="center"/>
    </xf>
    <xf numFmtId="0" fontId="3" fillId="5" borderId="39" xfId="0" applyFont="1" applyFill="1" applyBorder="1" applyAlignment="1">
      <alignment vertical="center" wrapText="1"/>
    </xf>
    <xf numFmtId="0" fontId="3" fillId="5" borderId="39" xfId="0" applyFont="1" applyFill="1" applyBorder="1" applyAlignment="1">
      <alignment horizontal="center" vertical="center" wrapText="1"/>
    </xf>
    <xf numFmtId="0" fontId="113" fillId="5" borderId="2" xfId="31" applyFont="1" applyFill="1" applyBorder="1" applyAlignment="1">
      <alignment horizontal="center" vertical="center" wrapText="1"/>
    </xf>
    <xf numFmtId="0" fontId="63" fillId="5" borderId="2" xfId="31" applyFont="1" applyFill="1" applyBorder="1" applyAlignment="1">
      <alignment horizontal="left" vertical="center" wrapText="1"/>
    </xf>
    <xf numFmtId="0" fontId="113" fillId="5" borderId="0" xfId="0" applyFont="1" applyFill="1"/>
    <xf numFmtId="2" fontId="63" fillId="5" borderId="2" xfId="31" applyNumberFormat="1" applyFont="1" applyFill="1" applyBorder="1" applyAlignment="1">
      <alignment horizontal="center" vertical="center" wrapText="1"/>
    </xf>
    <xf numFmtId="0" fontId="63" fillId="5" borderId="2" xfId="0" applyFont="1" applyFill="1" applyBorder="1" applyAlignment="1">
      <alignment horizontal="center" vertical="center" wrapText="1"/>
    </xf>
    <xf numFmtId="2" fontId="1" fillId="5" borderId="2" xfId="31" applyNumberFormat="1" applyFill="1" applyBorder="1" applyAlignment="1">
      <alignment horizontal="center" vertical="center" wrapText="1"/>
    </xf>
    <xf numFmtId="2" fontId="113" fillId="6" borderId="41" xfId="0" applyNumberFormat="1" applyFont="1" applyFill="1" applyBorder="1" applyAlignment="1">
      <alignment horizontal="center"/>
    </xf>
    <xf numFmtId="2" fontId="63" fillId="6" borderId="2" xfId="0" applyNumberFormat="1" applyFont="1" applyFill="1" applyBorder="1" applyAlignment="1">
      <alignment horizontal="center" vertical="center"/>
    </xf>
    <xf numFmtId="2" fontId="63" fillId="6" borderId="2" xfId="0" applyNumberFormat="1" applyFont="1" applyFill="1" applyBorder="1" applyAlignment="1">
      <alignment horizontal="center"/>
    </xf>
    <xf numFmtId="2" fontId="63" fillId="2" borderId="2" xfId="0" applyNumberFormat="1" applyFont="1" applyFill="1" applyBorder="1" applyAlignment="1">
      <alignment horizontal="center" vertical="center"/>
    </xf>
    <xf numFmtId="2" fontId="113" fillId="2" borderId="2" xfId="0" applyNumberFormat="1" applyFont="1" applyFill="1" applyBorder="1" applyAlignment="1">
      <alignment horizontal="center"/>
    </xf>
    <xf numFmtId="0" fontId="113" fillId="5" borderId="39" xfId="52" applyFont="1" applyFill="1" applyBorder="1" applyAlignment="1">
      <alignment horizontal="center"/>
    </xf>
    <xf numFmtId="2" fontId="63" fillId="5" borderId="5" xfId="0" applyNumberFormat="1" applyFont="1" applyFill="1" applyBorder="1" applyAlignment="1">
      <alignment horizontal="center"/>
    </xf>
    <xf numFmtId="2" fontId="63" fillId="5" borderId="2" xfId="0" applyNumberFormat="1" applyFont="1" applyFill="1" applyBorder="1" applyAlignment="1">
      <alignment horizontal="center"/>
    </xf>
    <xf numFmtId="0" fontId="113" fillId="5" borderId="2" xfId="0" applyFont="1" applyFill="1" applyBorder="1" applyAlignment="1">
      <alignment horizontal="center" vertical="center"/>
    </xf>
    <xf numFmtId="0" fontId="113" fillId="5" borderId="2" xfId="0" applyFont="1" applyFill="1" applyBorder="1" applyAlignment="1">
      <alignment horizontal="center" vertical="center" wrapText="1"/>
    </xf>
    <xf numFmtId="0" fontId="113" fillId="5" borderId="2" xfId="0" applyFont="1" applyFill="1" applyBorder="1" applyAlignment="1">
      <alignment horizontal="center" vertical="top" wrapText="1"/>
    </xf>
    <xf numFmtId="0" fontId="113" fillId="5" borderId="39" xfId="0" applyFont="1" applyFill="1" applyBorder="1" applyAlignment="1">
      <alignment horizontal="center" vertical="center" wrapText="1"/>
    </xf>
    <xf numFmtId="0" fontId="113" fillId="5" borderId="40" xfId="0" applyFont="1" applyFill="1" applyBorder="1" applyAlignment="1">
      <alignment vertical="center" wrapText="1"/>
    </xf>
    <xf numFmtId="0" fontId="113" fillId="5" borderId="2" xfId="55" applyFont="1" applyFill="1" applyBorder="1" applyAlignment="1">
      <alignment horizontal="center"/>
    </xf>
    <xf numFmtId="0" fontId="113" fillId="5" borderId="2" xfId="55" applyFont="1" applyFill="1" applyBorder="1" applyAlignment="1">
      <alignment vertical="center" wrapText="1"/>
    </xf>
    <xf numFmtId="1" fontId="113" fillId="5" borderId="2" xfId="55" applyNumberFormat="1" applyFont="1" applyFill="1" applyBorder="1" applyAlignment="1">
      <alignment horizontal="center" vertical="center" wrapText="1"/>
    </xf>
    <xf numFmtId="168" fontId="113" fillId="5" borderId="2" xfId="55" applyNumberFormat="1" applyFont="1" applyFill="1" applyBorder="1" applyAlignment="1">
      <alignment horizontal="right" vertical="center" wrapText="1"/>
    </xf>
    <xf numFmtId="175" fontId="113" fillId="5" borderId="2" xfId="63" applyNumberFormat="1" applyFont="1" applyFill="1" applyBorder="1" applyAlignment="1">
      <alignment horizontal="right" vertical="center" wrapText="1"/>
    </xf>
    <xf numFmtId="0" fontId="113" fillId="5" borderId="2" xfId="55" applyFont="1" applyFill="1" applyBorder="1" applyAlignment="1">
      <alignment horizontal="center" vertical="center" wrapText="1"/>
    </xf>
    <xf numFmtId="0" fontId="113" fillId="5" borderId="7" xfId="55" applyFont="1" applyFill="1" applyBorder="1" applyAlignment="1">
      <alignment horizontal="center" vertical="center"/>
    </xf>
    <xf numFmtId="1" fontId="113" fillId="5" borderId="2" xfId="55" applyNumberFormat="1" applyFont="1" applyFill="1" applyBorder="1" applyAlignment="1">
      <alignment horizontal="center" vertical="center"/>
    </xf>
    <xf numFmtId="168" fontId="113" fillId="5" borderId="2" xfId="55" applyNumberFormat="1" applyFont="1" applyFill="1" applyBorder="1" applyAlignment="1">
      <alignment horizontal="right" vertical="center"/>
    </xf>
    <xf numFmtId="175" fontId="113" fillId="5" borderId="2" xfId="63" applyNumberFormat="1" applyFont="1" applyFill="1" applyBorder="1" applyAlignment="1">
      <alignment horizontal="right" vertical="center"/>
    </xf>
    <xf numFmtId="0" fontId="113" fillId="5" borderId="39" xfId="57" applyFont="1" applyFill="1" applyBorder="1" applyAlignment="1">
      <alignment vertical="center" wrapText="1"/>
    </xf>
    <xf numFmtId="0" fontId="113" fillId="5" borderId="39" xfId="55" applyFont="1" applyFill="1" applyBorder="1" applyAlignment="1">
      <alignment horizontal="center" vertical="center" wrapText="1"/>
    </xf>
    <xf numFmtId="1" fontId="113" fillId="5" borderId="39" xfId="55" applyNumberFormat="1" applyFont="1" applyFill="1" applyBorder="1" applyAlignment="1">
      <alignment horizontal="center" vertical="center" wrapText="1"/>
    </xf>
    <xf numFmtId="1" fontId="113" fillId="5" borderId="63" xfId="55" applyNumberFormat="1" applyFont="1" applyFill="1" applyBorder="1" applyAlignment="1">
      <alignment horizontal="center" vertical="center" wrapText="1"/>
    </xf>
    <xf numFmtId="1" fontId="0" fillId="5" borderId="2" xfId="63" applyNumberFormat="1" applyFont="1" applyFill="1" applyBorder="1" applyAlignment="1">
      <alignment horizontal="right" vertical="center"/>
    </xf>
    <xf numFmtId="1" fontId="0" fillId="5" borderId="3" xfId="63" applyNumberFormat="1" applyFont="1" applyFill="1" applyBorder="1" applyAlignment="1">
      <alignment horizontal="right" vertical="center"/>
    </xf>
    <xf numFmtId="175" fontId="63" fillId="5" borderId="40" xfId="63" applyNumberFormat="1" applyFont="1" applyFill="1" applyBorder="1" applyAlignment="1">
      <alignment horizontal="right" vertical="center"/>
    </xf>
    <xf numFmtId="0" fontId="63" fillId="5" borderId="2" xfId="57" applyFont="1" applyFill="1" applyBorder="1" applyAlignment="1">
      <alignment horizontal="center" vertical="center"/>
    </xf>
    <xf numFmtId="1" fontId="113" fillId="5" borderId="2" xfId="57" applyNumberFormat="1" applyFont="1" applyFill="1" applyBorder="1" applyAlignment="1">
      <alignment vertical="center"/>
    </xf>
    <xf numFmtId="1" fontId="113" fillId="5" borderId="2" xfId="57" applyNumberFormat="1" applyFont="1" applyFill="1" applyBorder="1" applyAlignment="1">
      <alignment horizontal="right" vertical="center"/>
    </xf>
    <xf numFmtId="168" fontId="113" fillId="5" borderId="2" xfId="57" applyNumberFormat="1" applyFont="1" applyFill="1" applyBorder="1" applyAlignment="1">
      <alignment horizontal="right" vertical="center"/>
    </xf>
    <xf numFmtId="1" fontId="113" fillId="5" borderId="2" xfId="63" applyNumberFormat="1" applyFont="1" applyFill="1" applyBorder="1" applyAlignment="1">
      <alignment horizontal="center" vertical="center"/>
    </xf>
    <xf numFmtId="0" fontId="113" fillId="5" borderId="63" xfId="55" applyFont="1" applyFill="1" applyBorder="1" applyAlignment="1">
      <alignment horizontal="center" vertical="center" wrapText="1"/>
    </xf>
    <xf numFmtId="2" fontId="63" fillId="5" borderId="39" xfId="63" applyNumberFormat="1" applyFont="1" applyFill="1" applyBorder="1" applyAlignment="1">
      <alignment horizontal="right"/>
    </xf>
    <xf numFmtId="168" fontId="63" fillId="5" borderId="39" xfId="63" applyNumberFormat="1" applyFont="1" applyFill="1" applyBorder="1" applyAlignment="1">
      <alignment horizontal="center" vertical="center"/>
    </xf>
    <xf numFmtId="2" fontId="63" fillId="5" borderId="39" xfId="29" applyNumberFormat="1" applyFont="1" applyFill="1" applyBorder="1" applyAlignment="1">
      <alignment horizontal="center" vertical="center" wrapText="1"/>
    </xf>
    <xf numFmtId="2" fontId="63" fillId="5" borderId="39" xfId="29" applyNumberFormat="1" applyFont="1" applyFill="1" applyBorder="1" applyAlignment="1">
      <alignment horizontal="right" vertical="center" wrapText="1"/>
    </xf>
    <xf numFmtId="2" fontId="63" fillId="5" borderId="39" xfId="63" applyNumberFormat="1" applyFont="1" applyFill="1" applyBorder="1" applyAlignment="1">
      <alignment horizontal="right" vertical="center" wrapText="1"/>
    </xf>
    <xf numFmtId="2" fontId="63" fillId="5" borderId="40" xfId="29" applyNumberFormat="1" applyFont="1" applyFill="1" applyBorder="1" applyAlignment="1">
      <alignment horizontal="center" vertical="center" wrapText="1"/>
    </xf>
    <xf numFmtId="2" fontId="63" fillId="5" borderId="40" xfId="29" applyNumberFormat="1" applyFont="1" applyFill="1" applyBorder="1" applyAlignment="1">
      <alignment horizontal="right" vertical="center" wrapText="1"/>
    </xf>
    <xf numFmtId="2" fontId="63" fillId="5" borderId="40" xfId="63" applyNumberFormat="1" applyFont="1" applyFill="1" applyBorder="1" applyAlignment="1">
      <alignment horizontal="right" vertical="center" wrapText="1"/>
    </xf>
    <xf numFmtId="168" fontId="63" fillId="5" borderId="40" xfId="63" applyNumberFormat="1" applyFont="1" applyFill="1" applyBorder="1" applyAlignment="1">
      <alignment horizontal="center" vertical="center"/>
    </xf>
    <xf numFmtId="168" fontId="63" fillId="5" borderId="76" xfId="63" applyNumberFormat="1" applyFont="1" applyFill="1" applyBorder="1" applyAlignment="1">
      <alignment horizontal="center" vertical="center"/>
    </xf>
    <xf numFmtId="168" fontId="63" fillId="5" borderId="77" xfId="63" applyNumberFormat="1" applyFont="1" applyFill="1" applyBorder="1" applyAlignment="1">
      <alignment horizontal="center" vertical="center"/>
    </xf>
    <xf numFmtId="0" fontId="63" fillId="5" borderId="7" xfId="57" applyFont="1" applyFill="1" applyBorder="1" applyAlignment="1">
      <alignment horizontal="center" vertical="center"/>
    </xf>
    <xf numFmtId="1" fontId="113" fillId="5" borderId="8" xfId="57" applyNumberFormat="1" applyFont="1" applyFill="1" applyBorder="1" applyAlignment="1">
      <alignment vertical="center"/>
    </xf>
    <xf numFmtId="1" fontId="113" fillId="5" borderId="8" xfId="57" applyNumberFormat="1" applyFont="1" applyFill="1" applyBorder="1" applyAlignment="1">
      <alignment horizontal="right" vertical="center"/>
    </xf>
    <xf numFmtId="168" fontId="113" fillId="5" borderId="8" xfId="57" applyNumberFormat="1" applyFont="1" applyFill="1" applyBorder="1" applyAlignment="1">
      <alignment horizontal="right" vertical="center"/>
    </xf>
    <xf numFmtId="168" fontId="113" fillId="5" borderId="2" xfId="63" applyNumberFormat="1" applyFont="1" applyFill="1" applyBorder="1" applyAlignment="1">
      <alignment horizontal="center" vertical="center"/>
    </xf>
    <xf numFmtId="2" fontId="63" fillId="5" borderId="2" xfId="58" applyNumberFormat="1" applyFont="1" applyFill="1" applyBorder="1" applyAlignment="1">
      <alignment horizontal="left" vertical="center"/>
    </xf>
    <xf numFmtId="1" fontId="63" fillId="5" borderId="2" xfId="13" applyNumberFormat="1" applyFont="1" applyFill="1" applyBorder="1" applyAlignment="1">
      <alignment horizontal="center" vertical="center"/>
    </xf>
    <xf numFmtId="175" fontId="63" fillId="5" borderId="2" xfId="63" applyNumberFormat="1" applyFont="1" applyFill="1" applyBorder="1" applyAlignment="1">
      <alignment horizontal="center" vertical="center"/>
    </xf>
    <xf numFmtId="1" fontId="63" fillId="5" borderId="2" xfId="63" applyNumberFormat="1" applyFont="1" applyFill="1" applyBorder="1" applyAlignment="1">
      <alignment horizontal="center" vertical="center"/>
    </xf>
    <xf numFmtId="2" fontId="63" fillId="5" borderId="2" xfId="58" quotePrefix="1" applyNumberFormat="1" applyFont="1" applyFill="1" applyBorder="1" applyAlignment="1">
      <alignment horizontal="left" vertical="center"/>
    </xf>
    <xf numFmtId="1" fontId="63" fillId="5" borderId="2" xfId="58" applyNumberFormat="1" applyFont="1" applyFill="1" applyBorder="1" applyAlignment="1">
      <alignment horizontal="center" vertical="center"/>
    </xf>
    <xf numFmtId="2" fontId="113" fillId="5" borderId="3" xfId="58" applyNumberFormat="1" applyFont="1" applyFill="1" applyBorder="1" applyAlignment="1">
      <alignment horizontal="left" vertical="center" wrapText="1"/>
    </xf>
    <xf numFmtId="1" fontId="113" fillId="5" borderId="2" xfId="13" applyNumberFormat="1" applyFont="1" applyFill="1" applyBorder="1" applyAlignment="1">
      <alignment horizontal="center" vertical="center"/>
    </xf>
    <xf numFmtId="175" fontId="113" fillId="5" borderId="2" xfId="63" applyNumberFormat="1" applyFont="1" applyFill="1" applyBorder="1" applyAlignment="1">
      <alignment horizontal="center" vertical="center"/>
    </xf>
    <xf numFmtId="2" fontId="63" fillId="5" borderId="5" xfId="58" applyNumberFormat="1" applyFont="1" applyFill="1" applyBorder="1" applyAlignment="1">
      <alignment horizontal="left" vertical="center"/>
    </xf>
    <xf numFmtId="175" fontId="2" fillId="5" borderId="2" xfId="63" applyNumberFormat="1" applyFont="1" applyFill="1" applyBorder="1" applyAlignment="1">
      <alignment horizontal="center" vertical="center"/>
    </xf>
    <xf numFmtId="2" fontId="113" fillId="5" borderId="2" xfId="58" applyNumberFormat="1" applyFont="1" applyFill="1" applyBorder="1" applyAlignment="1">
      <alignment horizontal="left" vertical="center" wrapText="1"/>
    </xf>
    <xf numFmtId="1" fontId="2" fillId="5" borderId="2" xfId="13" applyNumberFormat="1" applyFont="1" applyFill="1" applyBorder="1" applyAlignment="1">
      <alignment horizontal="center" vertical="center"/>
    </xf>
    <xf numFmtId="2" fontId="113" fillId="5" borderId="3" xfId="58" applyNumberFormat="1" applyFont="1" applyFill="1" applyBorder="1" applyAlignment="1">
      <alignment horizontal="left" vertical="center"/>
    </xf>
    <xf numFmtId="1" fontId="113" fillId="5" borderId="3" xfId="13" applyNumberFormat="1" applyFont="1" applyFill="1" applyBorder="1" applyAlignment="1">
      <alignment horizontal="center" vertical="center"/>
    </xf>
    <xf numFmtId="175" fontId="113" fillId="5" borderId="3" xfId="63" applyNumberFormat="1" applyFont="1" applyFill="1" applyBorder="1" applyAlignment="1">
      <alignment horizontal="center" vertical="center"/>
    </xf>
    <xf numFmtId="1" fontId="113" fillId="5" borderId="3" xfId="63" applyNumberFormat="1" applyFont="1" applyFill="1" applyBorder="1" applyAlignment="1">
      <alignment horizontal="center" vertical="center"/>
    </xf>
    <xf numFmtId="208" fontId="63" fillId="5" borderId="2" xfId="29" applyNumberFormat="1" applyFont="1" applyFill="1" applyBorder="1" applyAlignment="1">
      <alignment vertical="center"/>
    </xf>
    <xf numFmtId="208" fontId="63" fillId="5" borderId="2" xfId="29" applyNumberFormat="1" applyFont="1" applyFill="1" applyBorder="1" applyAlignment="1"/>
    <xf numFmtId="208" fontId="63" fillId="5" borderId="39" xfId="29" applyNumberFormat="1" applyFont="1" applyFill="1" applyBorder="1" applyAlignment="1">
      <alignment vertical="center"/>
    </xf>
    <xf numFmtId="0" fontId="113" fillId="5" borderId="2" xfId="59" applyFont="1" applyFill="1" applyBorder="1" applyAlignment="1">
      <alignment vertical="center"/>
    </xf>
    <xf numFmtId="10" fontId="1" fillId="5" borderId="2" xfId="0" applyNumberFormat="1" applyFont="1" applyFill="1" applyBorder="1"/>
    <xf numFmtId="205" fontId="63" fillId="5" borderId="2" xfId="59" applyNumberFormat="1" applyFont="1" applyFill="1" applyBorder="1" applyAlignment="1">
      <alignment vertical="center"/>
    </xf>
    <xf numFmtId="43" fontId="63" fillId="5" borderId="2" xfId="29" applyFont="1" applyFill="1" applyBorder="1" applyAlignment="1">
      <alignment vertical="center"/>
    </xf>
    <xf numFmtId="175" fontId="63" fillId="5" borderId="2" xfId="63" applyNumberFormat="1" applyFont="1" applyFill="1" applyBorder="1" applyAlignment="1">
      <alignment horizontal="center" vertical="center" wrapText="1"/>
    </xf>
    <xf numFmtId="175" fontId="113" fillId="5" borderId="2" xfId="63" applyNumberFormat="1" applyFont="1" applyFill="1" applyBorder="1" applyAlignment="1">
      <alignment horizontal="center" vertical="center" wrapText="1"/>
    </xf>
    <xf numFmtId="182" fontId="9" fillId="5" borderId="2" xfId="0" applyNumberFormat="1" applyFont="1" applyFill="1" applyBorder="1" applyAlignment="1">
      <alignment horizontal="center" vertical="center" wrapText="1"/>
    </xf>
    <xf numFmtId="168" fontId="10" fillId="5" borderId="2" xfId="0" applyNumberFormat="1" applyFont="1" applyFill="1" applyBorder="1" applyAlignment="1" applyProtection="1">
      <alignment horizontal="center" vertical="center"/>
      <protection locked="0"/>
    </xf>
    <xf numFmtId="3" fontId="10" fillId="5" borderId="2" xfId="0" applyNumberFormat="1" applyFont="1" applyFill="1" applyBorder="1" applyAlignment="1" applyProtection="1">
      <alignment horizontal="center" vertical="center"/>
      <protection locked="0"/>
    </xf>
    <xf numFmtId="206" fontId="10" fillId="5" borderId="2" xfId="0" applyNumberFormat="1" applyFont="1" applyFill="1" applyBorder="1" applyAlignment="1" applyProtection="1">
      <alignment horizontal="center" vertical="center"/>
      <protection locked="0"/>
    </xf>
    <xf numFmtId="2" fontId="10" fillId="5" borderId="2" xfId="6" applyNumberFormat="1" applyFont="1" applyFill="1" applyBorder="1" applyAlignment="1" applyProtection="1">
      <alignment horizontal="center" vertical="center"/>
      <protection locked="0"/>
    </xf>
    <xf numFmtId="0" fontId="113" fillId="5" borderId="2" xfId="0" applyFont="1" applyFill="1" applyBorder="1" applyAlignment="1">
      <alignment vertical="center" wrapText="1"/>
    </xf>
    <xf numFmtId="0" fontId="113" fillId="5" borderId="39" xfId="0" applyFont="1" applyFill="1" applyBorder="1" applyAlignment="1">
      <alignment vertical="center"/>
    </xf>
    <xf numFmtId="0" fontId="113" fillId="5" borderId="39" xfId="0" applyFont="1" applyFill="1" applyBorder="1" applyAlignment="1">
      <alignment horizontal="center" vertical="center"/>
    </xf>
    <xf numFmtId="0" fontId="113" fillId="5" borderId="2" xfId="0" applyFont="1" applyFill="1" applyBorder="1" applyAlignment="1">
      <alignment vertical="center"/>
    </xf>
    <xf numFmtId="165" fontId="63" fillId="5" borderId="2" xfId="63" applyFont="1" applyFill="1" applyBorder="1" applyAlignment="1">
      <alignment horizontal="center" vertical="center"/>
    </xf>
    <xf numFmtId="2" fontId="113" fillId="5" borderId="2" xfId="0" applyNumberFormat="1" applyFont="1" applyFill="1" applyBorder="1" applyAlignment="1">
      <alignment horizontal="center" vertical="center" wrapText="1"/>
    </xf>
    <xf numFmtId="169" fontId="113" fillId="5" borderId="2" xfId="1" applyNumberFormat="1" applyFont="1" applyFill="1" applyBorder="1" applyAlignment="1">
      <alignment horizontal="center" vertical="center" wrapText="1"/>
    </xf>
    <xf numFmtId="0" fontId="113" fillId="5" borderId="2" xfId="0" applyFont="1" applyFill="1" applyBorder="1" applyAlignment="1">
      <alignment wrapText="1"/>
    </xf>
    <xf numFmtId="0" fontId="113" fillId="5" borderId="2" xfId="0" applyFont="1" applyFill="1" applyBorder="1" applyAlignment="1">
      <alignment horizontal="center" wrapText="1"/>
    </xf>
    <xf numFmtId="165" fontId="113" fillId="5" borderId="2" xfId="63" applyFont="1" applyFill="1" applyBorder="1" applyAlignment="1">
      <alignment horizontal="center" wrapText="1"/>
    </xf>
    <xf numFmtId="0" fontId="113" fillId="5" borderId="3" xfId="0" applyFont="1" applyFill="1" applyBorder="1" applyAlignment="1">
      <alignment vertical="center" wrapText="1"/>
    </xf>
    <xf numFmtId="204" fontId="0" fillId="5" borderId="2" xfId="0" applyNumberFormat="1" applyFill="1" applyBorder="1" applyAlignment="1">
      <alignment horizontal="center"/>
    </xf>
    <xf numFmtId="165" fontId="0" fillId="5" borderId="2" xfId="63" applyFont="1" applyFill="1" applyBorder="1"/>
    <xf numFmtId="0" fontId="112" fillId="5" borderId="2" xfId="0" applyFont="1" applyFill="1" applyBorder="1" applyAlignment="1">
      <alignment horizontal="left" vertical="center" wrapText="1"/>
    </xf>
    <xf numFmtId="0" fontId="112" fillId="5" borderId="2" xfId="0" applyFont="1" applyFill="1" applyBorder="1" applyAlignment="1">
      <alignment horizontal="center" vertical="center" wrapText="1"/>
    </xf>
    <xf numFmtId="0" fontId="112" fillId="5" borderId="5" xfId="0" applyFont="1" applyFill="1" applyBorder="1" applyAlignment="1">
      <alignment vertical="center" wrapText="1"/>
    </xf>
    <xf numFmtId="1" fontId="12" fillId="5" borderId="5" xfId="0" applyNumberFormat="1" applyFont="1" applyFill="1" applyBorder="1" applyAlignment="1">
      <alignment horizontal="center" vertical="center"/>
    </xf>
    <xf numFmtId="1" fontId="44" fillId="5" borderId="5" xfId="0" applyNumberFormat="1" applyFont="1" applyFill="1" applyBorder="1" applyAlignment="1">
      <alignment horizontal="center" vertical="center"/>
    </xf>
    <xf numFmtId="1" fontId="44" fillId="5" borderId="2" xfId="39" applyNumberFormat="1" applyFont="1" applyFill="1" applyBorder="1" applyAlignment="1">
      <alignment horizontal="center" vertical="center"/>
    </xf>
    <xf numFmtId="0" fontId="44" fillId="5" borderId="2" xfId="0" applyFont="1" applyFill="1" applyBorder="1" applyAlignment="1">
      <alignment horizontal="center" vertical="center"/>
    </xf>
    <xf numFmtId="0" fontId="12" fillId="5" borderId="2" xfId="43" applyFont="1" applyFill="1" applyBorder="1" applyAlignment="1">
      <alignment horizontal="center" vertical="center"/>
    </xf>
    <xf numFmtId="0" fontId="10" fillId="5" borderId="2" xfId="43" applyFont="1" applyFill="1" applyBorder="1" applyAlignment="1">
      <alignment horizontal="center" vertical="center"/>
    </xf>
    <xf numFmtId="0" fontId="12" fillId="5" borderId="2" xfId="0" applyFont="1" applyFill="1" applyBorder="1" applyAlignment="1">
      <alignment horizontal="center" vertical="center"/>
    </xf>
    <xf numFmtId="0" fontId="10" fillId="5" borderId="2" xfId="0" applyFont="1" applyFill="1" applyBorder="1" applyAlignment="1">
      <alignment horizontal="center" vertical="center"/>
    </xf>
    <xf numFmtId="0" fontId="7" fillId="5" borderId="2" xfId="40" applyFont="1" applyFill="1" applyBorder="1" applyAlignment="1">
      <alignment horizontal="center" vertical="center" wrapText="1"/>
    </xf>
    <xf numFmtId="0" fontId="12" fillId="5" borderId="2" xfId="40" applyFont="1" applyFill="1" applyBorder="1" applyAlignment="1">
      <alignment horizontal="center" vertical="center" wrapText="1"/>
    </xf>
    <xf numFmtId="2" fontId="14" fillId="5" borderId="2" xfId="0" applyNumberFormat="1" applyFont="1" applyFill="1" applyBorder="1"/>
    <xf numFmtId="2" fontId="12" fillId="5" borderId="2" xfId="0" applyNumberFormat="1" applyFont="1" applyFill="1" applyBorder="1"/>
    <xf numFmtId="2" fontId="44" fillId="5" borderId="2" xfId="0" applyNumberFormat="1" applyFont="1" applyFill="1" applyBorder="1"/>
    <xf numFmtId="0" fontId="12" fillId="5" borderId="0" xfId="0" applyFont="1" applyFill="1"/>
    <xf numFmtId="0" fontId="228" fillId="5" borderId="0" xfId="0" applyFont="1" applyFill="1"/>
    <xf numFmtId="185" fontId="12" fillId="5" borderId="0" xfId="0" applyNumberFormat="1" applyFont="1" applyFill="1"/>
    <xf numFmtId="1" fontId="36" fillId="5" borderId="2" xfId="9" applyNumberFormat="1" applyFont="1" applyFill="1" applyBorder="1" applyAlignment="1">
      <alignment horizontal="center" vertical="center"/>
    </xf>
    <xf numFmtId="1" fontId="36" fillId="5" borderId="2" xfId="0" applyNumberFormat="1" applyFont="1" applyFill="1" applyBorder="1" applyAlignment="1">
      <alignment horizontal="center"/>
    </xf>
    <xf numFmtId="1" fontId="36" fillId="5" borderId="33" xfId="0" applyNumberFormat="1" applyFont="1" applyFill="1" applyBorder="1" applyAlignment="1">
      <alignment horizontal="center"/>
    </xf>
    <xf numFmtId="168" fontId="7" fillId="0" borderId="0" xfId="35" applyNumberFormat="1" applyFont="1" applyAlignment="1">
      <alignment horizontal="center" vertical="center" wrapText="1"/>
    </xf>
    <xf numFmtId="168" fontId="12" fillId="0" borderId="0" xfId="35" applyNumberFormat="1" applyFont="1" applyAlignment="1">
      <alignment horizontal="center" vertical="center" wrapText="1"/>
    </xf>
    <xf numFmtId="1" fontId="7" fillId="0" borderId="0" xfId="0" applyNumberFormat="1" applyFont="1" applyAlignment="1">
      <alignment horizontal="left" vertical="center" indent="1"/>
    </xf>
    <xf numFmtId="0" fontId="13" fillId="0" borderId="0" xfId="0" applyFont="1" applyAlignment="1">
      <alignment vertical="center"/>
    </xf>
    <xf numFmtId="168" fontId="13" fillId="0" borderId="0" xfId="0" applyNumberFormat="1" applyFont="1" applyAlignment="1">
      <alignment horizontal="center" vertical="center"/>
    </xf>
    <xf numFmtId="168" fontId="44" fillId="0" borderId="0" xfId="35" applyNumberFormat="1" applyFont="1" applyAlignment="1">
      <alignment horizontal="center" vertical="center" wrapText="1"/>
    </xf>
    <xf numFmtId="0" fontId="44" fillId="0" borderId="0" xfId="35" applyFont="1" applyAlignment="1">
      <alignment vertical="top" wrapText="1"/>
    </xf>
    <xf numFmtId="0" fontId="44" fillId="0" borderId="0" xfId="35" applyFont="1" applyAlignment="1">
      <alignment vertical="center" wrapText="1"/>
    </xf>
    <xf numFmtId="41" fontId="10" fillId="0" borderId="10" xfId="39" applyFont="1" applyBorder="1" applyAlignment="1">
      <alignment horizontal="center" vertical="center"/>
    </xf>
    <xf numFmtId="41" fontId="10" fillId="0" borderId="12" xfId="39" applyFont="1" applyBorder="1" applyAlignment="1">
      <alignment horizontal="center" vertical="center"/>
    </xf>
    <xf numFmtId="41" fontId="10" fillId="0" borderId="4" xfId="39" applyFont="1" applyBorder="1" applyAlignment="1">
      <alignment horizontal="center" vertical="center"/>
    </xf>
    <xf numFmtId="41" fontId="10" fillId="0" borderId="1" xfId="39" applyFont="1" applyBorder="1" applyAlignment="1">
      <alignment horizontal="center" vertical="center"/>
    </xf>
    <xf numFmtId="41" fontId="10" fillId="0" borderId="0" xfId="39" applyFont="1" applyAlignment="1">
      <alignment horizontal="center" vertical="center"/>
    </xf>
    <xf numFmtId="41" fontId="10" fillId="0" borderId="15" xfId="39" applyFont="1" applyBorder="1" applyAlignment="1">
      <alignment horizontal="center" vertical="center"/>
    </xf>
    <xf numFmtId="41" fontId="10" fillId="0" borderId="11" xfId="39" applyFont="1" applyBorder="1" applyAlignment="1">
      <alignment horizontal="center" vertical="center"/>
    </xf>
    <xf numFmtId="41" fontId="10" fillId="0" borderId="13" xfId="39" applyFont="1" applyBorder="1" applyAlignment="1">
      <alignment horizontal="center" vertical="center"/>
    </xf>
    <xf numFmtId="41" fontId="10" fillId="0" borderId="14" xfId="39" applyFont="1" applyBorder="1" applyAlignment="1">
      <alignment horizontal="center" vertical="center"/>
    </xf>
    <xf numFmtId="0" fontId="9" fillId="0" borderId="7" xfId="0" applyFont="1" applyBorder="1" applyAlignment="1">
      <alignment horizontal="left" vertical="top" wrapText="1"/>
    </xf>
    <xf numFmtId="0" fontId="9" fillId="0" borderId="8" xfId="0" applyFont="1" applyBorder="1" applyAlignment="1">
      <alignment horizontal="left" vertical="top" wrapText="1"/>
    </xf>
    <xf numFmtId="0" fontId="9" fillId="0" borderId="9" xfId="0" applyFont="1" applyBorder="1" applyAlignment="1">
      <alignment horizontal="left" vertical="top" wrapText="1"/>
    </xf>
    <xf numFmtId="41" fontId="39" fillId="0" borderId="7" xfId="39" applyFont="1" applyBorder="1" applyAlignment="1">
      <alignment horizontal="right" vertical="center"/>
    </xf>
    <xf numFmtId="41" fontId="39" fillId="0" borderId="8" xfId="39" applyFont="1" applyBorder="1" applyAlignment="1">
      <alignment horizontal="right" vertical="center"/>
    </xf>
    <xf numFmtId="41" fontId="39" fillId="0" borderId="9" xfId="39" applyFont="1" applyBorder="1" applyAlignment="1">
      <alignment horizontal="right" vertical="center"/>
    </xf>
    <xf numFmtId="0" fontId="15" fillId="0" borderId="7" xfId="0" applyFont="1" applyBorder="1" applyAlignment="1">
      <alignment horizontal="left" vertical="top" wrapText="1"/>
    </xf>
    <xf numFmtId="0" fontId="15" fillId="0" borderId="8" xfId="0" applyFont="1" applyBorder="1" applyAlignment="1">
      <alignment horizontal="left" vertical="top" wrapText="1"/>
    </xf>
    <xf numFmtId="0" fontId="15" fillId="0" borderId="9" xfId="0" applyFont="1" applyBorder="1" applyAlignment="1">
      <alignment horizontal="left" vertical="top" wrapText="1"/>
    </xf>
    <xf numFmtId="0" fontId="15" fillId="0" borderId="10" xfId="39" applyNumberFormat="1" applyFont="1" applyBorder="1" applyAlignment="1">
      <alignment horizontal="left" vertical="top" wrapText="1"/>
    </xf>
    <xf numFmtId="0" fontId="15" fillId="0" borderId="12" xfId="39" applyNumberFormat="1" applyFont="1" applyBorder="1" applyAlignment="1">
      <alignment horizontal="left" vertical="top" wrapText="1"/>
    </xf>
    <xf numFmtId="0" fontId="15" fillId="0" borderId="4" xfId="39" applyNumberFormat="1" applyFont="1" applyBorder="1" applyAlignment="1">
      <alignment horizontal="left" vertical="top" wrapText="1"/>
    </xf>
    <xf numFmtId="0" fontId="15" fillId="0" borderId="1" xfId="39" applyNumberFormat="1" applyFont="1" applyBorder="1" applyAlignment="1">
      <alignment horizontal="left" vertical="top" wrapText="1"/>
    </xf>
    <xf numFmtId="0" fontId="15" fillId="0" borderId="0" xfId="39" applyNumberFormat="1" applyFont="1" applyAlignment="1">
      <alignment horizontal="left" vertical="top" wrapText="1"/>
    </xf>
    <xf numFmtId="0" fontId="15" fillId="0" borderId="15" xfId="39" applyNumberFormat="1" applyFont="1" applyBorder="1" applyAlignment="1">
      <alignment horizontal="left" vertical="top" wrapText="1"/>
    </xf>
    <xf numFmtId="0" fontId="15" fillId="0" borderId="11" xfId="39" applyNumberFormat="1" applyFont="1" applyBorder="1" applyAlignment="1">
      <alignment horizontal="left" vertical="top" wrapText="1"/>
    </xf>
    <xf numFmtId="0" fontId="15" fillId="0" borderId="13" xfId="39" applyNumberFormat="1" applyFont="1" applyBorder="1" applyAlignment="1">
      <alignment horizontal="left" vertical="top" wrapText="1"/>
    </xf>
    <xf numFmtId="0" fontId="15" fillId="0" borderId="14" xfId="39" applyNumberFormat="1" applyFont="1" applyBorder="1" applyAlignment="1">
      <alignment horizontal="left" vertical="top" wrapText="1"/>
    </xf>
    <xf numFmtId="0" fontId="56" fillId="0" borderId="2" xfId="0" applyFont="1" applyBorder="1" applyAlignment="1">
      <alignment horizontal="center" vertical="center" wrapText="1"/>
    </xf>
    <xf numFmtId="41" fontId="40" fillId="0" borderId="7" xfId="39" applyFont="1" applyBorder="1" applyAlignment="1">
      <alignment horizontal="right" vertical="center"/>
    </xf>
    <xf numFmtId="41" fontId="40" fillId="0" borderId="8" xfId="39" applyFont="1" applyBorder="1" applyAlignment="1">
      <alignment horizontal="right" vertical="center"/>
    </xf>
    <xf numFmtId="41" fontId="40" fillId="0" borderId="9" xfId="39" applyFont="1" applyBorder="1" applyAlignment="1">
      <alignment horizontal="right" vertical="center"/>
    </xf>
    <xf numFmtId="0" fontId="4" fillId="0" borderId="0" xfId="0" applyFont="1" applyAlignment="1">
      <alignment horizontal="left" vertical="justify" wrapText="1"/>
    </xf>
    <xf numFmtId="0" fontId="10" fillId="0" borderId="12" xfId="8" applyFont="1" applyBorder="1" applyAlignment="1">
      <alignment vertical="center" wrapText="1"/>
    </xf>
    <xf numFmtId="0" fontId="20" fillId="0" borderId="12" xfId="0" applyFont="1" applyBorder="1" applyAlignment="1">
      <alignment vertical="center" wrapText="1"/>
    </xf>
    <xf numFmtId="166" fontId="9" fillId="0" borderId="1" xfId="3" applyNumberFormat="1" applyFont="1" applyBorder="1" applyAlignment="1">
      <alignment horizontal="left" vertical="center" wrapText="1"/>
    </xf>
    <xf numFmtId="166" fontId="9" fillId="0" borderId="0" xfId="3" applyNumberFormat="1" applyFont="1" applyAlignment="1">
      <alignment horizontal="left" vertical="center" wrapText="1"/>
    </xf>
    <xf numFmtId="166" fontId="10" fillId="0" borderId="2" xfId="3" applyNumberFormat="1" applyFont="1" applyBorder="1" applyAlignment="1">
      <alignment horizontal="left" vertical="center" wrapText="1"/>
    </xf>
    <xf numFmtId="166" fontId="10" fillId="0" borderId="3" xfId="3" applyNumberFormat="1" applyFont="1" applyBorder="1" applyAlignment="1">
      <alignment horizontal="center" vertical="center" wrapText="1"/>
    </xf>
    <xf numFmtId="166" fontId="10" fillId="0" borderId="6" xfId="3" applyNumberFormat="1" applyFont="1" applyBorder="1" applyAlignment="1">
      <alignment horizontal="center" vertical="center" wrapText="1"/>
    </xf>
    <xf numFmtId="166" fontId="10" fillId="0" borderId="5" xfId="3" applyNumberFormat="1" applyFont="1" applyBorder="1" applyAlignment="1">
      <alignment horizontal="center" vertical="center" wrapText="1"/>
    </xf>
    <xf numFmtId="166" fontId="10" fillId="0" borderId="10" xfId="3" applyNumberFormat="1" applyFont="1" applyBorder="1" applyAlignment="1">
      <alignment horizontal="left" vertical="top" wrapText="1"/>
    </xf>
    <xf numFmtId="166" fontId="10" fillId="0" borderId="12" xfId="3" applyNumberFormat="1" applyFont="1" applyBorder="1" applyAlignment="1">
      <alignment horizontal="left" vertical="top" wrapText="1"/>
    </xf>
    <xf numFmtId="168" fontId="142" fillId="0" borderId="2" xfId="0" applyNumberFormat="1" applyFont="1" applyBorder="1" applyAlignment="1">
      <alignment horizontal="center" vertical="center"/>
    </xf>
    <xf numFmtId="0" fontId="165" fillId="0" borderId="2" xfId="0" applyFont="1" applyBorder="1" applyAlignment="1">
      <alignment horizontal="center" vertical="center" wrapText="1"/>
    </xf>
    <xf numFmtId="0" fontId="135" fillId="0" borderId="2" xfId="3" applyFont="1" applyBorder="1" applyAlignment="1">
      <alignment horizontal="center" vertical="center" wrapText="1"/>
    </xf>
    <xf numFmtId="166" fontId="133" fillId="0" borderId="2" xfId="3" applyNumberFormat="1" applyFont="1" applyBorder="1" applyAlignment="1">
      <alignment horizontal="center" vertical="center" wrapText="1"/>
    </xf>
    <xf numFmtId="166" fontId="133" fillId="0" borderId="2" xfId="3" applyNumberFormat="1" applyFont="1" applyBorder="1" applyAlignment="1">
      <alignment horizontal="left" vertical="center" wrapText="1"/>
    </xf>
    <xf numFmtId="167" fontId="126" fillId="5" borderId="2" xfId="3" applyNumberFormat="1" applyFont="1" applyFill="1" applyBorder="1" applyAlignment="1">
      <alignment horizontal="left" vertical="center" wrapText="1"/>
    </xf>
    <xf numFmtId="166" fontId="58" fillId="5" borderId="7" xfId="3" applyNumberFormat="1" applyFont="1" applyFill="1" applyBorder="1" applyAlignment="1">
      <alignment horizontal="left" vertical="center" wrapText="1"/>
    </xf>
    <xf numFmtId="166" fontId="58" fillId="5" borderId="8" xfId="3" applyNumberFormat="1" applyFont="1" applyFill="1" applyBorder="1" applyAlignment="1">
      <alignment horizontal="left" vertical="center" wrapText="1"/>
    </xf>
    <xf numFmtId="166" fontId="58" fillId="5" borderId="9" xfId="3" applyNumberFormat="1" applyFont="1" applyFill="1" applyBorder="1" applyAlignment="1">
      <alignment horizontal="left" vertical="center" wrapText="1"/>
    </xf>
    <xf numFmtId="166" fontId="58" fillId="0" borderId="32" xfId="3" applyNumberFormat="1" applyFont="1" applyBorder="1" applyAlignment="1">
      <alignment horizontal="center" vertical="center" wrapText="1"/>
    </xf>
    <xf numFmtId="166" fontId="58" fillId="0" borderId="70" xfId="3" applyNumberFormat="1" applyFont="1" applyBorder="1" applyAlignment="1">
      <alignment horizontal="center" vertical="center" wrapText="1"/>
    </xf>
    <xf numFmtId="166" fontId="58" fillId="0" borderId="38" xfId="3" applyNumberFormat="1" applyFont="1" applyBorder="1" applyAlignment="1">
      <alignment horizontal="center" vertical="center" wrapText="1"/>
    </xf>
    <xf numFmtId="166" fontId="69" fillId="0" borderId="20" xfId="3" applyNumberFormat="1" applyFont="1" applyBorder="1" applyAlignment="1">
      <alignment horizontal="left" vertical="center" wrapText="1"/>
    </xf>
    <xf numFmtId="166" fontId="69" fillId="0" borderId="0" xfId="3" applyNumberFormat="1" applyFont="1" applyAlignment="1">
      <alignment horizontal="left" vertical="center" wrapText="1"/>
    </xf>
    <xf numFmtId="166" fontId="69" fillId="0" borderId="15" xfId="3" applyNumberFormat="1" applyFont="1" applyBorder="1" applyAlignment="1">
      <alignment horizontal="left" vertical="center" wrapText="1"/>
    </xf>
    <xf numFmtId="0" fontId="71" fillId="5" borderId="20" xfId="8" applyFont="1" applyFill="1" applyBorder="1" applyAlignment="1">
      <alignment horizontal="left" vertical="center" wrapText="1"/>
    </xf>
    <xf numFmtId="0" fontId="71" fillId="5" borderId="0" xfId="8" applyFont="1" applyFill="1" applyAlignment="1">
      <alignment horizontal="left" vertical="center" wrapText="1"/>
    </xf>
    <xf numFmtId="0" fontId="71" fillId="5" borderId="15" xfId="8" applyFont="1" applyFill="1" applyBorder="1" applyAlignment="1">
      <alignment horizontal="left" vertical="center" wrapText="1"/>
    </xf>
    <xf numFmtId="166" fontId="71" fillId="5" borderId="20" xfId="3" applyNumberFormat="1" applyFont="1" applyFill="1" applyBorder="1" applyAlignment="1">
      <alignment horizontal="left" vertical="top" wrapText="1"/>
    </xf>
    <xf numFmtId="166" fontId="71" fillId="5" borderId="0" xfId="3" applyNumberFormat="1" applyFont="1" applyFill="1" applyAlignment="1">
      <alignment horizontal="left" vertical="top" wrapText="1"/>
    </xf>
    <xf numFmtId="166" fontId="71" fillId="5" borderId="15" xfId="3" applyNumberFormat="1" applyFont="1" applyFill="1" applyBorder="1" applyAlignment="1">
      <alignment horizontal="left" vertical="top" wrapText="1"/>
    </xf>
    <xf numFmtId="166" fontId="69" fillId="0" borderId="2" xfId="3" applyNumberFormat="1" applyFont="1" applyBorder="1" applyAlignment="1">
      <alignment horizontal="left" vertical="center" wrapText="1"/>
    </xf>
    <xf numFmtId="166" fontId="15" fillId="0" borderId="2" xfId="3" applyNumberFormat="1" applyFont="1" applyBorder="1" applyAlignment="1">
      <alignment horizontal="center" vertical="center" wrapText="1"/>
    </xf>
    <xf numFmtId="166" fontId="15" fillId="0" borderId="2" xfId="3" applyNumberFormat="1" applyFont="1" applyBorder="1" applyAlignment="1">
      <alignment horizontal="left" vertical="center" wrapText="1"/>
    </xf>
    <xf numFmtId="172" fontId="15" fillId="0" borderId="2" xfId="3" applyNumberFormat="1" applyFont="1" applyBorder="1" applyAlignment="1">
      <alignment horizontal="center" vertical="center" wrapText="1"/>
    </xf>
    <xf numFmtId="166" fontId="15" fillId="0" borderId="3" xfId="3" applyNumberFormat="1" applyFont="1" applyBorder="1" applyAlignment="1">
      <alignment horizontal="center" vertical="center" wrapText="1"/>
    </xf>
    <xf numFmtId="166" fontId="15" fillId="0" borderId="5" xfId="3" applyNumberFormat="1" applyFont="1" applyBorder="1" applyAlignment="1">
      <alignment horizontal="center" vertical="center" wrapText="1"/>
    </xf>
    <xf numFmtId="166" fontId="15" fillId="0" borderId="10" xfId="3" applyNumberFormat="1" applyFont="1" applyBorder="1" applyAlignment="1">
      <alignment horizontal="center" vertical="center" wrapText="1"/>
    </xf>
    <xf numFmtId="166" fontId="15" fillId="0" borderId="11" xfId="3" applyNumberFormat="1" applyFont="1" applyBorder="1" applyAlignment="1">
      <alignment horizontal="center" vertical="center" wrapText="1"/>
    </xf>
    <xf numFmtId="167" fontId="10" fillId="0" borderId="1" xfId="3" applyNumberFormat="1" applyFont="1" applyBorder="1" applyAlignment="1">
      <alignment horizontal="left" vertical="top" wrapText="1"/>
    </xf>
    <xf numFmtId="167" fontId="10" fillId="0" borderId="0" xfId="3" applyNumberFormat="1" applyFont="1" applyAlignment="1">
      <alignment horizontal="left" vertical="top" wrapText="1"/>
    </xf>
    <xf numFmtId="166" fontId="15" fillId="0" borderId="7" xfId="3" applyNumberFormat="1" applyFont="1" applyBorder="1" applyAlignment="1">
      <alignment horizontal="center" vertical="center" wrapText="1"/>
    </xf>
    <xf numFmtId="168" fontId="10" fillId="0" borderId="3" xfId="0" applyNumberFormat="1" applyFont="1" applyBorder="1" applyAlignment="1">
      <alignment horizontal="right" vertical="center" wrapText="1"/>
    </xf>
    <xf numFmtId="168" fontId="10" fillId="0" borderId="5" xfId="0" applyNumberFormat="1" applyFont="1" applyBorder="1" applyAlignment="1">
      <alignment horizontal="right" vertical="center" wrapText="1"/>
    </xf>
    <xf numFmtId="166" fontId="10" fillId="0" borderId="3" xfId="3" applyNumberFormat="1" applyFont="1" applyBorder="1" applyAlignment="1">
      <alignment horizontal="left" vertical="center" wrapText="1"/>
    </xf>
    <xf numFmtId="166" fontId="10" fillId="0" borderId="5" xfId="3" applyNumberFormat="1" applyFont="1" applyBorder="1" applyAlignment="1">
      <alignment horizontal="left" vertical="center" wrapText="1"/>
    </xf>
    <xf numFmtId="168" fontId="10" fillId="0" borderId="3" xfId="0" applyNumberFormat="1" applyFont="1" applyBorder="1" applyAlignment="1">
      <alignment horizontal="center" vertical="center" wrapText="1"/>
    </xf>
    <xf numFmtId="168" fontId="10" fillId="0" borderId="5" xfId="0" applyNumberFormat="1" applyFont="1" applyBorder="1" applyAlignment="1">
      <alignment horizontal="center" vertical="center" wrapText="1"/>
    </xf>
    <xf numFmtId="168" fontId="16" fillId="0" borderId="3" xfId="0" applyNumberFormat="1" applyFont="1" applyBorder="1" applyAlignment="1">
      <alignment horizontal="right" vertical="center" wrapText="1"/>
    </xf>
    <xf numFmtId="168" fontId="16" fillId="0" borderId="5" xfId="0" applyNumberFormat="1" applyFont="1" applyBorder="1" applyAlignment="1">
      <alignment horizontal="right" vertical="center" wrapText="1"/>
    </xf>
    <xf numFmtId="166" fontId="10" fillId="0" borderId="2" xfId="3" applyNumberFormat="1" applyFont="1" applyBorder="1" applyAlignment="1">
      <alignment horizontal="center" vertical="center" wrapText="1"/>
    </xf>
    <xf numFmtId="166" fontId="10" fillId="0" borderId="6" xfId="3" applyNumberFormat="1" applyFont="1" applyBorder="1" applyAlignment="1">
      <alignment horizontal="left" vertical="center" wrapText="1"/>
    </xf>
    <xf numFmtId="0" fontId="6" fillId="0" borderId="1" xfId="0" applyFont="1" applyBorder="1" applyAlignment="1">
      <alignment horizontal="center" vertical="center" wrapText="1"/>
    </xf>
    <xf numFmtId="0" fontId="6" fillId="0" borderId="0" xfId="0" applyFont="1" applyAlignment="1">
      <alignment horizontal="center" vertical="center" wrapText="1"/>
    </xf>
    <xf numFmtId="0" fontId="9" fillId="0" borderId="1" xfId="3" applyFont="1" applyBorder="1" applyAlignment="1">
      <alignment horizontal="right" vertical="center" wrapText="1"/>
    </xf>
    <xf numFmtId="0" fontId="9" fillId="0" borderId="0" xfId="3" applyFont="1" applyAlignment="1">
      <alignment horizontal="right" vertical="center" wrapText="1"/>
    </xf>
    <xf numFmtId="0" fontId="10" fillId="0" borderId="20" xfId="0" applyFont="1" applyBorder="1" applyAlignment="1">
      <alignment horizontal="left" vertical="center" wrapText="1"/>
    </xf>
    <xf numFmtId="0" fontId="10" fillId="0" borderId="0" xfId="0" applyFont="1" applyAlignment="1">
      <alignment horizontal="left" vertical="center" wrapText="1"/>
    </xf>
    <xf numFmtId="0" fontId="10" fillId="0" borderId="21"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4" xfId="0" applyFont="1" applyBorder="1" applyAlignment="1">
      <alignment horizontal="left" vertical="center" wrapText="1"/>
    </xf>
    <xf numFmtId="0" fontId="31" fillId="0" borderId="0" xfId="0" applyFont="1" applyAlignment="1">
      <alignment horizontal="left" vertical="center" wrapText="1"/>
    </xf>
    <xf numFmtId="0" fontId="31" fillId="0" borderId="0" xfId="0" applyFont="1" applyAlignment="1">
      <alignment horizontal="left" vertical="center"/>
    </xf>
    <xf numFmtId="0" fontId="34" fillId="0" borderId="32" xfId="0" applyFont="1" applyBorder="1" applyAlignment="1">
      <alignment horizontal="center" vertical="top"/>
    </xf>
    <xf numFmtId="0" fontId="34" fillId="0" borderId="70" xfId="0" applyFont="1" applyBorder="1" applyAlignment="1">
      <alignment horizontal="center" vertical="top"/>
    </xf>
    <xf numFmtId="0" fontId="34" fillId="0" borderId="38" xfId="0" applyFont="1" applyBorder="1" applyAlignment="1">
      <alignment horizontal="center" vertical="top"/>
    </xf>
    <xf numFmtId="0" fontId="58" fillId="0" borderId="20" xfId="0" applyFont="1" applyBorder="1" applyAlignment="1">
      <alignment horizontal="left" vertical="center"/>
    </xf>
    <xf numFmtId="0" fontId="58" fillId="0" borderId="0" xfId="0" applyFont="1" applyAlignment="1">
      <alignment horizontal="left" vertical="center"/>
    </xf>
    <xf numFmtId="0" fontId="58" fillId="0" borderId="21" xfId="0" applyFont="1" applyBorder="1" applyAlignment="1">
      <alignment horizontal="left" vertical="center"/>
    </xf>
    <xf numFmtId="0" fontId="58" fillId="0" borderId="20" xfId="0" applyFont="1" applyBorder="1" applyAlignment="1">
      <alignment horizontal="left" vertical="center" wrapText="1"/>
    </xf>
    <xf numFmtId="0" fontId="58" fillId="0" borderId="0" xfId="0" applyFont="1" applyAlignment="1">
      <alignment horizontal="left" vertical="center" wrapText="1"/>
    </xf>
    <xf numFmtId="0" fontId="58" fillId="0" borderId="21" xfId="0" applyFont="1" applyBorder="1" applyAlignment="1">
      <alignment horizontal="left" vertical="center" wrapText="1"/>
    </xf>
    <xf numFmtId="0" fontId="34" fillId="0" borderId="32" xfId="0" applyFont="1" applyBorder="1" applyAlignment="1">
      <alignment horizontal="center" vertical="center"/>
    </xf>
    <xf numFmtId="0" fontId="34" fillId="0" borderId="70" xfId="0" applyFont="1" applyBorder="1" applyAlignment="1">
      <alignment horizontal="center" vertical="center"/>
    </xf>
    <xf numFmtId="0" fontId="34" fillId="0" borderId="38" xfId="0" applyFont="1" applyBorder="1" applyAlignment="1">
      <alignment horizontal="center" vertical="center"/>
    </xf>
    <xf numFmtId="0" fontId="23" fillId="0" borderId="35" xfId="0" applyFont="1" applyBorder="1" applyAlignment="1">
      <alignment horizontal="center" vertical="center"/>
    </xf>
    <xf numFmtId="0" fontId="23" fillId="0" borderId="36" xfId="0" applyFont="1" applyBorder="1" applyAlignment="1">
      <alignment horizontal="center" vertical="center"/>
    </xf>
    <xf numFmtId="0" fontId="23" fillId="0" borderId="37" xfId="0" applyFont="1" applyBorder="1" applyAlignment="1">
      <alignment horizontal="center" vertical="center"/>
    </xf>
    <xf numFmtId="0" fontId="10" fillId="0" borderId="38" xfId="0" applyFont="1" applyBorder="1" applyAlignment="1">
      <alignment horizontal="center" vertical="center"/>
    </xf>
    <xf numFmtId="0" fontId="12" fillId="0" borderId="20" xfId="0" applyFont="1" applyBorder="1" applyAlignment="1">
      <alignment horizontal="left" vertical="center" wrapText="1"/>
    </xf>
    <xf numFmtId="0" fontId="12" fillId="0" borderId="0" xfId="0" applyFont="1" applyAlignment="1">
      <alignment horizontal="left" vertical="center" wrapText="1"/>
    </xf>
    <xf numFmtId="0" fontId="12" fillId="0" borderId="21" xfId="0" applyFont="1" applyBorder="1" applyAlignment="1">
      <alignment horizontal="left" vertical="center" wrapText="1"/>
    </xf>
    <xf numFmtId="0" fontId="12" fillId="0" borderId="22" xfId="0" applyFont="1" applyBorder="1" applyAlignment="1">
      <alignment horizontal="left" vertical="center" wrapText="1"/>
    </xf>
    <xf numFmtId="0" fontId="12" fillId="0" borderId="23" xfId="0" applyFont="1" applyBorder="1" applyAlignment="1">
      <alignment horizontal="left" vertical="center" wrapText="1"/>
    </xf>
    <xf numFmtId="0" fontId="12" fillId="0" borderId="24" xfId="0" applyFont="1" applyBorder="1" applyAlignment="1">
      <alignment horizontal="left" vertical="center" wrapText="1"/>
    </xf>
    <xf numFmtId="0" fontId="34" fillId="0" borderId="16" xfId="0" applyFont="1" applyBorder="1" applyAlignment="1">
      <alignment horizontal="center" vertical="top"/>
    </xf>
    <xf numFmtId="0" fontId="34" fillId="0" borderId="7" xfId="0" applyFont="1" applyBorder="1" applyAlignment="1">
      <alignment horizontal="left" vertical="center"/>
    </xf>
    <xf numFmtId="0" fontId="34" fillId="0" borderId="8" xfId="0" applyFont="1" applyBorder="1" applyAlignment="1">
      <alignment horizontal="left" vertical="center"/>
    </xf>
    <xf numFmtId="0" fontId="34" fillId="0" borderId="31" xfId="0" applyFont="1" applyBorder="1" applyAlignment="1">
      <alignment horizontal="left" vertical="center"/>
    </xf>
    <xf numFmtId="0" fontId="34" fillId="0" borderId="2" xfId="0" applyFont="1" applyBorder="1" applyAlignment="1">
      <alignment horizontal="left" vertical="center"/>
    </xf>
    <xf numFmtId="0" fontId="34" fillId="0" borderId="33" xfId="0" applyFont="1" applyBorder="1" applyAlignment="1">
      <alignment horizontal="left" vertical="center"/>
    </xf>
    <xf numFmtId="0" fontId="34" fillId="0" borderId="7" xfId="0" applyFont="1" applyBorder="1" applyAlignment="1">
      <alignment horizontal="left" vertical="center" wrapText="1"/>
    </xf>
    <xf numFmtId="0" fontId="34" fillId="0" borderId="8" xfId="0" applyFont="1" applyBorder="1" applyAlignment="1">
      <alignment horizontal="left" vertical="center" wrapText="1"/>
    </xf>
    <xf numFmtId="0" fontId="34" fillId="0" borderId="31" xfId="0" applyFont="1" applyBorder="1" applyAlignment="1">
      <alignment horizontal="left" vertical="center" wrapText="1"/>
    </xf>
    <xf numFmtId="0" fontId="34" fillId="0" borderId="2" xfId="0" applyFont="1" applyBorder="1" applyAlignment="1">
      <alignment horizontal="center" vertical="top"/>
    </xf>
    <xf numFmtId="0" fontId="30" fillId="0" borderId="0" xfId="11" applyFont="1" applyFill="1" applyAlignment="1">
      <alignment wrapText="1"/>
    </xf>
    <xf numFmtId="0" fontId="23" fillId="0" borderId="2" xfId="0" applyFont="1" applyBorder="1" applyAlignment="1">
      <alignment horizontal="center" vertical="center"/>
    </xf>
    <xf numFmtId="0" fontId="71" fillId="0" borderId="2" xfId="11" applyFont="1" applyFill="1" applyBorder="1" applyAlignment="1">
      <alignment horizontal="left" vertical="center" wrapText="1"/>
    </xf>
    <xf numFmtId="0" fontId="58" fillId="0" borderId="2" xfId="11" applyFont="1" applyFill="1" applyBorder="1" applyAlignment="1">
      <alignment horizontal="left" vertical="center" wrapText="1"/>
    </xf>
    <xf numFmtId="0" fontId="23" fillId="0" borderId="2" xfId="11" applyFont="1" applyFill="1" applyBorder="1" applyAlignment="1">
      <alignment horizontal="left" vertical="center" wrapText="1"/>
    </xf>
    <xf numFmtId="180" fontId="23" fillId="2" borderId="22" xfId="11" applyNumberFormat="1" applyFont="1" applyFill="1" applyBorder="1" applyAlignment="1">
      <alignment horizontal="left" vertical="top" wrapText="1"/>
    </xf>
    <xf numFmtId="180" fontId="23" fillId="2" borderId="23" xfId="11" applyNumberFormat="1" applyFont="1" applyFill="1" applyBorder="1" applyAlignment="1">
      <alignment horizontal="left" vertical="top" wrapText="1"/>
    </xf>
    <xf numFmtId="180" fontId="23" fillId="2" borderId="24" xfId="11" applyNumberFormat="1" applyFont="1" applyFill="1" applyBorder="1" applyAlignment="1">
      <alignment horizontal="left" vertical="top" wrapText="1"/>
    </xf>
    <xf numFmtId="0" fontId="71" fillId="0" borderId="2" xfId="0" applyFont="1" applyBorder="1" applyAlignment="1">
      <alignment horizontal="center" vertical="center"/>
    </xf>
    <xf numFmtId="0" fontId="34" fillId="0" borderId="2" xfId="0" applyFont="1" applyBorder="1" applyAlignment="1">
      <alignment horizontal="center" vertical="center" wrapText="1"/>
    </xf>
    <xf numFmtId="0" fontId="37" fillId="0" borderId="2" xfId="11" applyFont="1" applyFill="1" applyBorder="1" applyAlignment="1">
      <alignment horizontal="left" vertical="center" wrapText="1"/>
    </xf>
    <xf numFmtId="0" fontId="37" fillId="0" borderId="2" xfId="11" applyFont="1" applyFill="1" applyBorder="1" applyAlignment="1">
      <alignment horizontal="left" vertical="center"/>
    </xf>
    <xf numFmtId="0" fontId="23" fillId="9" borderId="2" xfId="0" applyFont="1" applyFill="1" applyBorder="1" applyAlignment="1">
      <alignment horizontal="center" vertical="center"/>
    </xf>
    <xf numFmtId="0" fontId="185" fillId="0" borderId="7" xfId="0" applyFont="1" applyBorder="1" applyAlignment="1">
      <alignment horizontal="center" vertical="center"/>
    </xf>
    <xf numFmtId="0" fontId="185" fillId="0" borderId="8" xfId="0" applyFont="1" applyBorder="1" applyAlignment="1">
      <alignment horizontal="center" vertical="center"/>
    </xf>
    <xf numFmtId="0" fontId="185" fillId="0" borderId="9" xfId="0" applyFont="1" applyBorder="1" applyAlignment="1">
      <alignment horizontal="center" vertical="center"/>
    </xf>
    <xf numFmtId="0" fontId="9" fillId="0" borderId="2" xfId="0" applyFont="1" applyBorder="1" applyAlignment="1">
      <alignment horizontal="center" vertical="center" wrapText="1"/>
    </xf>
    <xf numFmtId="0" fontId="37" fillId="0" borderId="20" xfId="11" applyFont="1" applyFill="1" applyBorder="1" applyAlignment="1">
      <alignment horizontal="left" vertical="center" wrapText="1"/>
    </xf>
    <xf numFmtId="0" fontId="37" fillId="0" borderId="0" xfId="11" applyFont="1" applyFill="1" applyBorder="1" applyAlignment="1">
      <alignment horizontal="left" vertical="center" wrapText="1"/>
    </xf>
    <xf numFmtId="0" fontId="37" fillId="0" borderId="21" xfId="11" applyFont="1" applyFill="1" applyBorder="1" applyAlignment="1">
      <alignment horizontal="left" vertical="center" wrapText="1"/>
    </xf>
    <xf numFmtId="0" fontId="37" fillId="0" borderId="20" xfId="11" applyFont="1" applyFill="1" applyBorder="1" applyAlignment="1">
      <alignment horizontal="left" vertical="center"/>
    </xf>
    <xf numFmtId="0" fontId="37" fillId="0" borderId="0" xfId="11" applyFont="1" applyFill="1" applyBorder="1" applyAlignment="1">
      <alignment horizontal="left" vertical="center"/>
    </xf>
    <xf numFmtId="0" fontId="37" fillId="0" borderId="21" xfId="11" applyFont="1" applyFill="1" applyBorder="1" applyAlignment="1">
      <alignment horizontal="left" vertical="center"/>
    </xf>
    <xf numFmtId="0" fontId="40" fillId="0" borderId="22" xfId="11" applyFont="1" applyFill="1" applyBorder="1" applyAlignment="1">
      <alignment horizontal="left" vertical="center" wrapText="1"/>
    </xf>
    <xf numFmtId="0" fontId="40" fillId="0" borderId="23" xfId="11" applyFont="1" applyFill="1" applyBorder="1" applyAlignment="1">
      <alignment horizontal="left" vertical="center" wrapText="1"/>
    </xf>
    <xf numFmtId="0" fontId="40" fillId="0" borderId="24" xfId="11" applyFont="1" applyFill="1" applyBorder="1" applyAlignment="1">
      <alignment horizontal="left" vertical="center" wrapText="1"/>
    </xf>
    <xf numFmtId="0" fontId="44" fillId="0" borderId="2" xfId="0" applyFont="1" applyBorder="1" applyAlignment="1">
      <alignment horizontal="center" vertical="center"/>
    </xf>
    <xf numFmtId="0" fontId="34" fillId="0" borderId="4" xfId="0" applyFont="1" applyBorder="1" applyAlignment="1">
      <alignment horizontal="center" vertical="center" wrapText="1"/>
    </xf>
    <xf numFmtId="0" fontId="34" fillId="0" borderId="14" xfId="0" applyFont="1" applyBorder="1" applyAlignment="1">
      <alignment horizontal="center" vertical="center" wrapText="1"/>
    </xf>
    <xf numFmtId="0" fontId="34" fillId="0" borderId="55" xfId="0" applyFont="1" applyBorder="1" applyAlignment="1">
      <alignment horizontal="center" vertical="center" wrapText="1"/>
    </xf>
    <xf numFmtId="0" fontId="34" fillId="0" borderId="47" xfId="0" applyFont="1" applyBorder="1" applyAlignment="1">
      <alignment horizontal="center" vertical="center" wrapText="1"/>
    </xf>
    <xf numFmtId="0" fontId="40" fillId="0" borderId="34" xfId="0" applyFont="1" applyBorder="1" applyAlignment="1">
      <alignment horizontal="center" vertical="center" wrapText="1"/>
    </xf>
    <xf numFmtId="0" fontId="40" fillId="0" borderId="56" xfId="0" applyFont="1" applyBorder="1" applyAlignment="1">
      <alignment horizontal="center" vertical="center" wrapText="1"/>
    </xf>
    <xf numFmtId="0" fontId="23" fillId="0" borderId="27" xfId="11" applyFont="1" applyFill="1" applyBorder="1" applyAlignment="1">
      <alignment horizontal="center" vertical="center"/>
    </xf>
    <xf numFmtId="0" fontId="23" fillId="0" borderId="28" xfId="11" applyFont="1" applyFill="1" applyBorder="1" applyAlignment="1">
      <alignment horizontal="center" vertical="center"/>
    </xf>
    <xf numFmtId="0" fontId="23" fillId="0" borderId="29" xfId="11" applyFont="1" applyFill="1" applyBorder="1" applyAlignment="1">
      <alignment horizontal="center" vertical="center"/>
    </xf>
    <xf numFmtId="0" fontId="71" fillId="0" borderId="30" xfId="11" applyFont="1" applyFill="1" applyBorder="1" applyAlignment="1">
      <alignment horizontal="right" vertical="center"/>
    </xf>
    <xf numFmtId="0" fontId="71" fillId="0" borderId="8" xfId="11" applyFont="1" applyFill="1" applyBorder="1" applyAlignment="1">
      <alignment horizontal="right" vertical="center"/>
    </xf>
    <xf numFmtId="0" fontId="71" fillId="0" borderId="31" xfId="11" applyFont="1" applyFill="1" applyBorder="1" applyAlignment="1">
      <alignment horizontal="right" vertical="center"/>
    </xf>
    <xf numFmtId="0" fontId="15" fillId="0" borderId="22" xfId="11" applyFont="1" applyFill="1" applyBorder="1" applyAlignment="1">
      <alignment horizontal="left" vertical="center" wrapText="1"/>
    </xf>
    <xf numFmtId="0" fontId="15" fillId="0" borderId="23" xfId="11" applyFont="1" applyFill="1" applyBorder="1" applyAlignment="1">
      <alignment horizontal="left" vertical="center" wrapText="1"/>
    </xf>
    <xf numFmtId="0" fontId="15" fillId="0" borderId="24" xfId="11" applyFont="1" applyFill="1" applyBorder="1" applyAlignment="1">
      <alignment horizontal="left" vertical="center" wrapText="1"/>
    </xf>
    <xf numFmtId="0" fontId="34" fillId="5" borderId="30" xfId="0" applyFont="1" applyFill="1" applyBorder="1" applyAlignment="1">
      <alignment horizontal="right" vertical="center"/>
    </xf>
    <xf numFmtId="0" fontId="34" fillId="5" borderId="8" xfId="0" applyFont="1" applyFill="1" applyBorder="1" applyAlignment="1">
      <alignment horizontal="right" vertical="center"/>
    </xf>
    <xf numFmtId="0" fontId="34" fillId="5" borderId="31" xfId="0" applyFont="1" applyFill="1" applyBorder="1" applyAlignment="1">
      <alignment horizontal="right" vertical="center"/>
    </xf>
    <xf numFmtId="0" fontId="71" fillId="0" borderId="55" xfId="0" applyFont="1" applyBorder="1" applyAlignment="1">
      <alignment horizontal="left" vertical="center" wrapText="1"/>
    </xf>
    <xf numFmtId="0" fontId="71" fillId="0" borderId="12" xfId="0" applyFont="1" applyBorder="1" applyAlignment="1">
      <alignment horizontal="left" vertical="center" wrapText="1"/>
    </xf>
    <xf numFmtId="0" fontId="71" fillId="0" borderId="51" xfId="0" applyFont="1" applyBorder="1" applyAlignment="1">
      <alignment horizontal="left" vertical="center" wrapText="1"/>
    </xf>
    <xf numFmtId="0" fontId="9" fillId="0" borderId="30" xfId="0" applyFont="1" applyBorder="1" applyAlignment="1">
      <alignment horizontal="right" vertical="center"/>
    </xf>
    <xf numFmtId="0" fontId="9" fillId="0" borderId="8" xfId="0" applyFont="1" applyBorder="1" applyAlignment="1">
      <alignment horizontal="right" vertical="center"/>
    </xf>
    <xf numFmtId="0" fontId="9" fillId="0" borderId="31" xfId="0" applyFont="1" applyBorder="1" applyAlignment="1">
      <alignment horizontal="right" vertical="center"/>
    </xf>
    <xf numFmtId="0" fontId="23" fillId="0" borderId="30" xfId="0" applyFont="1" applyBorder="1" applyAlignment="1">
      <alignment horizontal="left" vertical="center"/>
    </xf>
    <xf numFmtId="0" fontId="23" fillId="0" borderId="8" xfId="0" applyFont="1" applyBorder="1" applyAlignment="1">
      <alignment horizontal="left" vertical="center"/>
    </xf>
    <xf numFmtId="0" fontId="23" fillId="0" borderId="31" xfId="0" applyFont="1" applyBorder="1" applyAlignment="1">
      <alignment horizontal="left" vertical="center"/>
    </xf>
    <xf numFmtId="2" fontId="58" fillId="0" borderId="3" xfId="0" applyNumberFormat="1" applyFont="1" applyBorder="1" applyAlignment="1">
      <alignment horizontal="center" vertical="center"/>
    </xf>
    <xf numFmtId="2" fontId="58" fillId="0" borderId="6" xfId="0" applyNumberFormat="1" applyFont="1" applyBorder="1" applyAlignment="1">
      <alignment horizontal="center" vertical="center"/>
    </xf>
    <xf numFmtId="2" fontId="58" fillId="0" borderId="5" xfId="0" applyNumberFormat="1" applyFont="1" applyBorder="1" applyAlignment="1">
      <alignment horizontal="center" vertical="center"/>
    </xf>
    <xf numFmtId="0" fontId="58" fillId="0" borderId="55" xfId="0" quotePrefix="1" applyFont="1" applyBorder="1" applyAlignment="1">
      <alignment horizontal="left" vertical="top" wrapText="1"/>
    </xf>
    <xf numFmtId="0" fontId="58" fillId="0" borderId="12" xfId="0" quotePrefix="1" applyFont="1" applyBorder="1" applyAlignment="1">
      <alignment horizontal="left" vertical="top" wrapText="1"/>
    </xf>
    <xf numFmtId="0" fontId="58" fillId="0" borderId="51" xfId="0" quotePrefix="1" applyFont="1" applyBorder="1" applyAlignment="1">
      <alignment horizontal="left" vertical="top" wrapText="1"/>
    </xf>
    <xf numFmtId="0" fontId="58" fillId="0" borderId="47" xfId="0" quotePrefix="1" applyFont="1" applyBorder="1" applyAlignment="1">
      <alignment horizontal="left" vertical="top" wrapText="1"/>
    </xf>
    <xf numFmtId="0" fontId="58" fillId="0" borderId="13" xfId="0" quotePrefix="1" applyFont="1" applyBorder="1" applyAlignment="1">
      <alignment horizontal="left" vertical="top" wrapText="1"/>
    </xf>
    <xf numFmtId="0" fontId="58" fillId="0" borderId="48" xfId="0" quotePrefix="1" applyFont="1" applyBorder="1" applyAlignment="1">
      <alignment horizontal="left" vertical="top" wrapText="1"/>
    </xf>
    <xf numFmtId="0" fontId="33" fillId="5" borderId="47" xfId="0" applyFont="1" applyFill="1" applyBorder="1" applyAlignment="1">
      <alignment horizontal="center" vertical="center" wrapText="1"/>
    </xf>
    <xf numFmtId="0" fontId="33" fillId="5" borderId="13" xfId="0" applyFont="1" applyFill="1" applyBorder="1" applyAlignment="1">
      <alignment horizontal="center" vertical="center" wrapText="1"/>
    </xf>
    <xf numFmtId="0" fontId="33" fillId="5" borderId="48" xfId="0" applyFont="1" applyFill="1" applyBorder="1" applyAlignment="1">
      <alignment horizontal="center" vertical="center" wrapText="1"/>
    </xf>
    <xf numFmtId="0" fontId="56" fillId="0" borderId="30" xfId="0" applyFont="1" applyBorder="1" applyAlignment="1">
      <alignment horizontal="center" vertical="center"/>
    </xf>
    <xf numFmtId="0" fontId="56" fillId="0" borderId="8" xfId="0" applyFont="1" applyBorder="1" applyAlignment="1">
      <alignment horizontal="center" vertical="center"/>
    </xf>
    <xf numFmtId="0" fontId="56" fillId="0" borderId="31" xfId="0" applyFont="1" applyBorder="1" applyAlignment="1">
      <alignment horizontal="center" vertical="center"/>
    </xf>
    <xf numFmtId="0" fontId="9" fillId="0" borderId="23" xfId="0" applyFont="1" applyBorder="1" applyAlignment="1">
      <alignment horizontal="center" vertical="top"/>
    </xf>
    <xf numFmtId="0" fontId="56" fillId="0" borderId="27" xfId="0" applyFont="1" applyBorder="1" applyAlignment="1">
      <alignment horizontal="center" vertical="center"/>
    </xf>
    <xf numFmtId="0" fontId="56" fillId="0" borderId="28" xfId="0" applyFont="1" applyBorder="1" applyAlignment="1">
      <alignment horizontal="center" vertical="center"/>
    </xf>
    <xf numFmtId="0" fontId="56" fillId="0" borderId="29" xfId="0" applyFont="1" applyBorder="1" applyAlignment="1">
      <alignment horizontal="center" vertical="center"/>
    </xf>
    <xf numFmtId="0" fontId="23" fillId="0" borderId="30" xfId="0" applyFont="1" applyBorder="1" applyAlignment="1">
      <alignment horizontal="center" vertical="top"/>
    </xf>
    <xf numFmtId="0" fontId="23" fillId="0" borderId="8" xfId="0" applyFont="1" applyBorder="1" applyAlignment="1">
      <alignment horizontal="center" vertical="top"/>
    </xf>
    <xf numFmtId="0" fontId="23" fillId="0" borderId="31" xfId="0" applyFont="1" applyBorder="1" applyAlignment="1">
      <alignment horizontal="center" vertical="top"/>
    </xf>
    <xf numFmtId="10" fontId="23" fillId="0" borderId="30" xfId="0" applyNumberFormat="1" applyFont="1" applyBorder="1" applyAlignment="1">
      <alignment horizontal="center" vertical="top"/>
    </xf>
    <xf numFmtId="10" fontId="23" fillId="0" borderId="8" xfId="0" applyNumberFormat="1" applyFont="1" applyBorder="1" applyAlignment="1">
      <alignment horizontal="center" vertical="top"/>
    </xf>
    <xf numFmtId="10" fontId="23" fillId="0" borderId="31" xfId="0" applyNumberFormat="1" applyFont="1" applyBorder="1" applyAlignment="1">
      <alignment horizontal="center" vertical="top"/>
    </xf>
    <xf numFmtId="0" fontId="7" fillId="0" borderId="16" xfId="0" applyFont="1" applyBorder="1" applyAlignment="1">
      <alignment horizontal="left"/>
    </xf>
    <xf numFmtId="0" fontId="7" fillId="0" borderId="2" xfId="0" applyFont="1" applyBorder="1" applyAlignment="1">
      <alignment horizontal="left"/>
    </xf>
    <xf numFmtId="0" fontId="7" fillId="0" borderId="33" xfId="0" applyFont="1" applyBorder="1" applyAlignment="1">
      <alignment horizontal="left"/>
    </xf>
    <xf numFmtId="0" fontId="130" fillId="0" borderId="20" xfId="0" applyFont="1" applyBorder="1" applyAlignment="1">
      <alignment horizontal="center"/>
    </xf>
    <xf numFmtId="0" fontId="130" fillId="0" borderId="0" xfId="0" applyFont="1" applyAlignment="1">
      <alignment horizontal="center"/>
    </xf>
    <xf numFmtId="0" fontId="130" fillId="0" borderId="21" xfId="0" applyFont="1" applyBorder="1" applyAlignment="1">
      <alignment horizontal="center"/>
    </xf>
    <xf numFmtId="0" fontId="7" fillId="0" borderId="20" xfId="0" applyFont="1" applyBorder="1" applyAlignment="1">
      <alignment horizontal="right"/>
    </xf>
    <xf numFmtId="0" fontId="7" fillId="0" borderId="0" xfId="0" applyFont="1" applyAlignment="1">
      <alignment horizontal="right"/>
    </xf>
    <xf numFmtId="0" fontId="7" fillId="0" borderId="21" xfId="0" applyFont="1" applyBorder="1" applyAlignment="1">
      <alignment horizontal="right"/>
    </xf>
    <xf numFmtId="0" fontId="7" fillId="0" borderId="20" xfId="0" applyFont="1" applyBorder="1" applyAlignment="1">
      <alignment horizontal="left"/>
    </xf>
    <xf numFmtId="0" fontId="7" fillId="0" borderId="0" xfId="0" applyFont="1" applyAlignment="1">
      <alignment horizontal="left"/>
    </xf>
    <xf numFmtId="0" fontId="7" fillId="0" borderId="21" xfId="0" applyFont="1" applyBorder="1" applyAlignment="1">
      <alignment horizontal="left"/>
    </xf>
    <xf numFmtId="0" fontId="47" fillId="20" borderId="3" xfId="4" applyFont="1" applyFill="1" applyBorder="1" applyAlignment="1">
      <alignment horizontal="center" vertical="center" wrapText="1"/>
    </xf>
    <xf numFmtId="0" fontId="47" fillId="20" borderId="2" xfId="4" applyFont="1" applyFill="1" applyBorder="1" applyAlignment="1">
      <alignment horizontal="center" vertical="center" wrapText="1"/>
    </xf>
    <xf numFmtId="0" fontId="13" fillId="5" borderId="2" xfId="0" applyFont="1" applyFill="1" applyBorder="1" applyAlignment="1">
      <alignment horizontal="center" vertical="center" wrapText="1"/>
    </xf>
    <xf numFmtId="0" fontId="13" fillId="5" borderId="7" xfId="0" applyFont="1" applyFill="1" applyBorder="1" applyAlignment="1">
      <alignment horizontal="center" vertical="center" wrapText="1"/>
    </xf>
    <xf numFmtId="0" fontId="13" fillId="5" borderId="9" xfId="0" applyFont="1" applyFill="1" applyBorder="1" applyAlignment="1">
      <alignment horizontal="center" vertical="center" wrapText="1"/>
    </xf>
    <xf numFmtId="0" fontId="199" fillId="5" borderId="7" xfId="0" applyFont="1" applyFill="1" applyBorder="1" applyAlignment="1">
      <alignment horizontal="center" vertical="center" wrapText="1"/>
    </xf>
    <xf numFmtId="0" fontId="199" fillId="5" borderId="9" xfId="0" applyFont="1" applyFill="1" applyBorder="1" applyAlignment="1">
      <alignment horizontal="center" vertical="center" wrapText="1"/>
    </xf>
    <xf numFmtId="0" fontId="13" fillId="5" borderId="0" xfId="0" applyFont="1" applyFill="1" applyAlignment="1">
      <alignment vertical="center" wrapText="1"/>
    </xf>
    <xf numFmtId="0" fontId="7" fillId="5" borderId="0" xfId="0" applyFont="1" applyFill="1" applyAlignment="1">
      <alignment horizontal="left" vertical="center" wrapText="1"/>
    </xf>
    <xf numFmtId="0" fontId="7" fillId="5" borderId="21" xfId="0" applyFont="1" applyFill="1" applyBorder="1" applyAlignment="1">
      <alignment horizontal="left" vertical="center" wrapText="1"/>
    </xf>
    <xf numFmtId="0" fontId="47" fillId="20" borderId="33" xfId="4" applyFont="1" applyFill="1" applyBorder="1" applyAlignment="1">
      <alignment horizontal="center" vertical="center" wrapText="1"/>
    </xf>
    <xf numFmtId="0" fontId="44" fillId="5" borderId="2" xfId="0" applyFont="1" applyFill="1" applyBorder="1" applyAlignment="1">
      <alignment horizontal="center" vertical="center" wrapText="1"/>
    </xf>
    <xf numFmtId="0" fontId="197" fillId="5" borderId="7" xfId="0" applyFont="1" applyFill="1" applyBorder="1" applyAlignment="1">
      <alignment horizontal="center" vertical="center" wrapText="1"/>
    </xf>
    <xf numFmtId="0" fontId="197" fillId="5" borderId="8" xfId="0" applyFont="1" applyFill="1" applyBorder="1" applyAlignment="1">
      <alignment horizontal="center" vertical="center" wrapText="1"/>
    </xf>
    <xf numFmtId="0" fontId="199" fillId="5" borderId="10" xfId="0" applyFont="1" applyFill="1" applyBorder="1" applyAlignment="1">
      <alignment horizontal="center" vertical="center" wrapText="1"/>
    </xf>
    <xf numFmtId="0" fontId="199" fillId="5" borderId="12" xfId="0" applyFont="1" applyFill="1" applyBorder="1" applyAlignment="1">
      <alignment horizontal="center" vertical="center" wrapText="1"/>
    </xf>
    <xf numFmtId="0" fontId="197" fillId="5" borderId="7" xfId="0" applyFont="1" applyFill="1" applyBorder="1" applyAlignment="1">
      <alignment horizontal="left" vertical="center" wrapText="1"/>
    </xf>
    <xf numFmtId="0" fontId="197" fillId="5" borderId="8" xfId="0" applyFont="1" applyFill="1" applyBorder="1" applyAlignment="1">
      <alignment horizontal="left" vertical="center" wrapText="1"/>
    </xf>
    <xf numFmtId="0" fontId="56" fillId="20" borderId="2" xfId="0" applyFont="1" applyFill="1" applyBorder="1" applyAlignment="1">
      <alignment horizontal="center" vertical="center"/>
    </xf>
    <xf numFmtId="0" fontId="151" fillId="8" borderId="2" xfId="0" applyFont="1" applyFill="1" applyBorder="1" applyAlignment="1">
      <alignment horizontal="center" vertical="center"/>
    </xf>
    <xf numFmtId="0" fontId="0" fillId="0" borderId="2" xfId="0" applyBorder="1" applyAlignment="1">
      <alignment horizontal="left" vertical="center" wrapText="1"/>
    </xf>
    <xf numFmtId="0" fontId="3" fillId="0" borderId="2" xfId="0" applyFont="1" applyBorder="1" applyAlignment="1">
      <alignment horizontal="left" vertical="center" wrapText="1"/>
    </xf>
    <xf numFmtId="0" fontId="36" fillId="0" borderId="55" xfId="0" applyFont="1" applyBorder="1" applyAlignment="1">
      <alignment horizontal="center" vertical="center" wrapText="1"/>
    </xf>
    <xf numFmtId="0" fontId="36" fillId="0" borderId="12" xfId="0" applyFont="1" applyBorder="1" applyAlignment="1">
      <alignment horizontal="center" vertical="center" wrapText="1"/>
    </xf>
    <xf numFmtId="0" fontId="36" fillId="0" borderId="4" xfId="0" applyFont="1" applyBorder="1" applyAlignment="1">
      <alignment horizontal="center" vertical="center" wrapText="1"/>
    </xf>
    <xf numFmtId="0" fontId="36" fillId="0" borderId="20" xfId="0" applyFont="1" applyBorder="1" applyAlignment="1">
      <alignment horizontal="center" vertical="center" wrapText="1"/>
    </xf>
    <xf numFmtId="0" fontId="36" fillId="0" borderId="0" xfId="0" applyFont="1" applyAlignment="1">
      <alignment horizontal="center" vertical="center" wrapText="1"/>
    </xf>
    <xf numFmtId="0" fontId="36" fillId="0" borderId="15" xfId="0" applyFont="1" applyBorder="1" applyAlignment="1">
      <alignment horizontal="center" vertical="center" wrapText="1"/>
    </xf>
    <xf numFmtId="0" fontId="36" fillId="0" borderId="47" xfId="0" applyFont="1" applyBorder="1" applyAlignment="1">
      <alignment horizontal="center" vertical="center" wrapText="1"/>
    </xf>
    <xf numFmtId="0" fontId="36" fillId="0" borderId="13" xfId="0" applyFont="1" applyBorder="1" applyAlignment="1">
      <alignment horizontal="center" vertical="center" wrapText="1"/>
    </xf>
    <xf numFmtId="0" fontId="36" fillId="0" borderId="14" xfId="0" applyFont="1" applyBorder="1" applyAlignment="1">
      <alignment horizontal="center" vertical="center" wrapText="1"/>
    </xf>
    <xf numFmtId="0" fontId="15" fillId="0" borderId="7" xfId="0" applyFont="1" applyBorder="1" applyAlignment="1">
      <alignment horizontal="center" vertical="center" wrapText="1"/>
    </xf>
    <xf numFmtId="0" fontId="15" fillId="0" borderId="9" xfId="0" applyFont="1" applyBorder="1" applyAlignment="1">
      <alignment horizontal="center" vertical="center" wrapText="1"/>
    </xf>
    <xf numFmtId="0" fontId="36" fillId="0" borderId="7" xfId="0" applyFont="1" applyBorder="1" applyAlignment="1">
      <alignment horizontal="center" vertical="center" wrapText="1"/>
    </xf>
    <xf numFmtId="0" fontId="36" fillId="0" borderId="9" xfId="0" applyFont="1" applyBorder="1" applyAlignment="1">
      <alignment horizontal="center" vertical="center" wrapText="1"/>
    </xf>
    <xf numFmtId="0" fontId="36" fillId="0" borderId="30" xfId="0" applyFont="1" applyBorder="1" applyAlignment="1">
      <alignment horizontal="center" wrapText="1"/>
    </xf>
    <xf numFmtId="0" fontId="36" fillId="0" borderId="8" xfId="0" applyFont="1" applyBorder="1" applyAlignment="1">
      <alignment horizontal="center" wrapText="1"/>
    </xf>
    <xf numFmtId="0" fontId="36" fillId="0" borderId="9" xfId="0" applyFont="1" applyBorder="1" applyAlignment="1">
      <alignment horizontal="center" wrapText="1"/>
    </xf>
    <xf numFmtId="0" fontId="36" fillId="0" borderId="2" xfId="0" applyFont="1" applyBorder="1" applyAlignment="1">
      <alignment horizontal="center" vertical="center" wrapText="1"/>
    </xf>
    <xf numFmtId="0" fontId="36" fillId="0" borderId="11" xfId="0" applyFont="1" applyBorder="1" applyAlignment="1">
      <alignment horizontal="center" vertical="center" wrapText="1"/>
    </xf>
    <xf numFmtId="0" fontId="15" fillId="0" borderId="2" xfId="0" applyFont="1" applyBorder="1" applyAlignment="1">
      <alignment horizontal="center" vertical="center" wrapText="1"/>
    </xf>
    <xf numFmtId="0" fontId="15" fillId="0" borderId="2" xfId="0" applyFont="1" applyBorder="1" applyAlignment="1">
      <alignment vertical="center" wrapText="1"/>
    </xf>
    <xf numFmtId="0" fontId="15" fillId="0" borderId="2" xfId="0" applyFont="1" applyBorder="1" applyAlignment="1">
      <alignment vertical="top" wrapText="1"/>
    </xf>
    <xf numFmtId="0" fontId="15" fillId="5" borderId="30" xfId="0" applyFont="1" applyFill="1" applyBorder="1" applyAlignment="1">
      <alignment horizontal="left" vertical="center"/>
    </xf>
    <xf numFmtId="0" fontId="15" fillId="5" borderId="8" xfId="0" applyFont="1" applyFill="1" applyBorder="1" applyAlignment="1">
      <alignment horizontal="left" vertical="center"/>
    </xf>
    <xf numFmtId="0" fontId="15" fillId="5" borderId="9" xfId="0" applyFont="1" applyFill="1" applyBorder="1" applyAlignment="1">
      <alignment horizontal="left" vertical="center"/>
    </xf>
    <xf numFmtId="1" fontId="15" fillId="0" borderId="7" xfId="0" applyNumberFormat="1" applyFont="1" applyBorder="1" applyAlignment="1">
      <alignment horizontal="right" vertical="center" wrapText="1"/>
    </xf>
    <xf numFmtId="1" fontId="15" fillId="0" borderId="9" xfId="0" applyNumberFormat="1" applyFont="1" applyBorder="1" applyAlignment="1">
      <alignment horizontal="right" vertical="center" wrapText="1"/>
    </xf>
    <xf numFmtId="0" fontId="15" fillId="5" borderId="30" xfId="0" applyFont="1" applyFill="1" applyBorder="1" applyAlignment="1">
      <alignment horizontal="left" vertical="center" wrapText="1"/>
    </xf>
    <xf numFmtId="0" fontId="15" fillId="5" borderId="8" xfId="0" applyFont="1" applyFill="1" applyBorder="1" applyAlignment="1">
      <alignment horizontal="left" vertical="center" wrapText="1"/>
    </xf>
    <xf numFmtId="0" fontId="15" fillId="5" borderId="9" xfId="0" applyFont="1" applyFill="1" applyBorder="1" applyAlignment="1">
      <alignment horizontal="left" vertical="center" wrapText="1"/>
    </xf>
    <xf numFmtId="2" fontId="15" fillId="0" borderId="7" xfId="0" applyNumberFormat="1" applyFont="1" applyBorder="1" applyAlignment="1">
      <alignment horizontal="right" vertical="center" wrapText="1"/>
    </xf>
    <xf numFmtId="2" fontId="15" fillId="0" borderId="9" xfId="0" applyNumberFormat="1" applyFont="1" applyBorder="1" applyAlignment="1">
      <alignment horizontal="right" vertical="center" wrapText="1"/>
    </xf>
    <xf numFmtId="0" fontId="15" fillId="5" borderId="30" xfId="0" applyFont="1" applyFill="1" applyBorder="1" applyAlignment="1">
      <alignment horizontal="center" vertical="center" wrapText="1"/>
    </xf>
    <xf numFmtId="0" fontId="15" fillId="5" borderId="9" xfId="0" applyFont="1" applyFill="1" applyBorder="1" applyAlignment="1">
      <alignment horizontal="center" vertical="center" wrapText="1"/>
    </xf>
    <xf numFmtId="0" fontId="15" fillId="5" borderId="7" xfId="0" applyFont="1" applyFill="1" applyBorder="1" applyAlignment="1">
      <alignment horizontal="center" vertical="center" wrapText="1"/>
    </xf>
    <xf numFmtId="0" fontId="15" fillId="5" borderId="8" xfId="0" applyFont="1" applyFill="1" applyBorder="1" applyAlignment="1">
      <alignment horizontal="center" vertical="center" wrapText="1"/>
    </xf>
    <xf numFmtId="0" fontId="10" fillId="5" borderId="55" xfId="0" applyFont="1" applyFill="1" applyBorder="1" applyAlignment="1">
      <alignment horizontal="left" vertical="top" wrapText="1"/>
    </xf>
    <xf numFmtId="0" fontId="10" fillId="5" borderId="12" xfId="0" applyFont="1" applyFill="1" applyBorder="1" applyAlignment="1">
      <alignment horizontal="left" vertical="top" wrapText="1"/>
    </xf>
    <xf numFmtId="0" fontId="15" fillId="5" borderId="20" xfId="0" applyFont="1" applyFill="1" applyBorder="1" applyAlignment="1">
      <alignment horizontal="left" vertical="center" wrapText="1"/>
    </xf>
    <xf numFmtId="0" fontId="15" fillId="5" borderId="0" xfId="0" applyFont="1" applyFill="1" applyAlignment="1">
      <alignment horizontal="left" vertical="center"/>
    </xf>
    <xf numFmtId="0" fontId="15" fillId="5" borderId="30" xfId="0" applyFont="1" applyFill="1" applyBorder="1" applyAlignment="1">
      <alignment horizontal="left" vertical="top"/>
    </xf>
    <xf numFmtId="0" fontId="10" fillId="5" borderId="8" xfId="0" applyFont="1" applyFill="1" applyBorder="1" applyAlignment="1">
      <alignment horizontal="left" vertical="top"/>
    </xf>
    <xf numFmtId="0" fontId="15" fillId="5" borderId="8" xfId="0" applyFont="1" applyFill="1" applyBorder="1" applyAlignment="1">
      <alignment horizontal="left" vertical="top"/>
    </xf>
    <xf numFmtId="0" fontId="15" fillId="5" borderId="9" xfId="0" applyFont="1" applyFill="1" applyBorder="1" applyAlignment="1">
      <alignment horizontal="left" vertical="top"/>
    </xf>
    <xf numFmtId="2" fontId="15" fillId="5" borderId="7" xfId="0" applyNumberFormat="1" applyFont="1" applyFill="1" applyBorder="1" applyAlignment="1">
      <alignment horizontal="right" vertical="center" wrapText="1"/>
    </xf>
    <xf numFmtId="2" fontId="15" fillId="5" borderId="9" xfId="0" applyNumberFormat="1" applyFont="1" applyFill="1" applyBorder="1" applyAlignment="1">
      <alignment horizontal="right" vertical="center" wrapText="1"/>
    </xf>
    <xf numFmtId="0" fontId="23" fillId="0" borderId="17" xfId="4" applyFont="1" applyBorder="1" applyAlignment="1">
      <alignment horizontal="center" vertical="center" wrapText="1"/>
    </xf>
    <xf numFmtId="0" fontId="23" fillId="0" borderId="18" xfId="4" applyFont="1" applyBorder="1" applyAlignment="1">
      <alignment horizontal="center" vertical="center" wrapText="1"/>
    </xf>
    <xf numFmtId="0" fontId="9" fillId="0" borderId="20" xfId="4" applyFont="1" applyBorder="1" applyAlignment="1">
      <alignment horizontal="center" vertical="center" wrapText="1"/>
    </xf>
    <xf numFmtId="0" fontId="9" fillId="0" borderId="0" xfId="4" applyFont="1" applyAlignment="1">
      <alignment horizontal="center" vertical="center" wrapText="1"/>
    </xf>
    <xf numFmtId="0" fontId="9" fillId="0" borderId="7" xfId="4" applyFont="1" applyBorder="1" applyAlignment="1">
      <alignment horizontal="center" vertical="center" wrapText="1"/>
    </xf>
    <xf numFmtId="0" fontId="9" fillId="0" borderId="8" xfId="4" applyFont="1" applyBorder="1" applyAlignment="1">
      <alignment horizontal="center" vertical="center" wrapText="1"/>
    </xf>
    <xf numFmtId="0" fontId="9" fillId="0" borderId="9" xfId="4" applyFont="1" applyBorder="1" applyAlignment="1">
      <alignment horizontal="center" vertical="center" wrapText="1"/>
    </xf>
    <xf numFmtId="0" fontId="10" fillId="0" borderId="7" xfId="4" applyFont="1" applyBorder="1" applyAlignment="1">
      <alignment horizontal="left" vertical="center" wrapText="1"/>
    </xf>
    <xf numFmtId="0" fontId="10" fillId="0" borderId="8" xfId="4" applyFont="1" applyBorder="1" applyAlignment="1">
      <alignment horizontal="left" vertical="center" wrapText="1"/>
    </xf>
    <xf numFmtId="0" fontId="10" fillId="0" borderId="9" xfId="4" applyFont="1" applyBorder="1" applyAlignment="1">
      <alignment horizontal="left" vertical="center" wrapText="1"/>
    </xf>
    <xf numFmtId="0" fontId="9" fillId="0" borderId="7" xfId="4" applyFont="1" applyBorder="1" applyAlignment="1">
      <alignment horizontal="left" vertical="center" wrapText="1"/>
    </xf>
    <xf numFmtId="0" fontId="9" fillId="0" borderId="8" xfId="4" applyFont="1" applyBorder="1" applyAlignment="1">
      <alignment horizontal="left" vertical="center" wrapText="1"/>
    </xf>
    <xf numFmtId="0" fontId="9" fillId="0" borderId="9" xfId="4" applyFont="1" applyBorder="1" applyAlignment="1">
      <alignment horizontal="left" vertical="center" wrapText="1"/>
    </xf>
    <xf numFmtId="0" fontId="34" fillId="0" borderId="20" xfId="0" applyFont="1" applyBorder="1" applyAlignment="1">
      <alignment horizontal="center" vertical="center" wrapText="1"/>
    </xf>
    <xf numFmtId="0" fontId="34" fillId="0" borderId="0" xfId="0" applyFont="1" applyAlignment="1">
      <alignment horizontal="center" vertical="center" wrapText="1"/>
    </xf>
    <xf numFmtId="0" fontId="36" fillId="0" borderId="30" xfId="0" applyFont="1" applyBorder="1" applyAlignment="1">
      <alignment horizontal="left" vertical="center" wrapText="1"/>
    </xf>
    <xf numFmtId="0" fontId="36" fillId="0" borderId="8" xfId="0" applyFont="1" applyBorder="1" applyAlignment="1">
      <alignment horizontal="left" vertical="center" wrapText="1"/>
    </xf>
    <xf numFmtId="0" fontId="36" fillId="0" borderId="9" xfId="0" applyFont="1" applyBorder="1" applyAlignment="1">
      <alignment horizontal="left" vertical="center" wrapText="1"/>
    </xf>
    <xf numFmtId="0" fontId="15" fillId="0" borderId="30" xfId="0" applyFont="1" applyBorder="1" applyAlignment="1">
      <alignment horizontal="left" vertical="top"/>
    </xf>
    <xf numFmtId="0" fontId="15" fillId="0" borderId="8" xfId="0" applyFont="1" applyBorder="1" applyAlignment="1">
      <alignment horizontal="left" vertical="top"/>
    </xf>
    <xf numFmtId="0" fontId="15" fillId="0" borderId="9" xfId="0" applyFont="1" applyBorder="1" applyAlignment="1">
      <alignment horizontal="left" vertical="top"/>
    </xf>
    <xf numFmtId="0" fontId="13" fillId="0" borderId="2" xfId="0" applyFont="1" applyBorder="1" applyAlignment="1">
      <alignment horizontal="center" vertical="center" wrapText="1"/>
    </xf>
    <xf numFmtId="0" fontId="13" fillId="0" borderId="6" xfId="0" applyFont="1" applyBorder="1" applyAlignment="1">
      <alignment horizontal="center" vertical="center" wrapText="1"/>
    </xf>
    <xf numFmtId="0" fontId="13" fillId="0" borderId="5" xfId="0" applyFont="1" applyBorder="1" applyAlignment="1">
      <alignment horizontal="center" vertical="center" wrapText="1"/>
    </xf>
    <xf numFmtId="0" fontId="44" fillId="0" borderId="2" xfId="0" applyFont="1" applyBorder="1" applyAlignment="1">
      <alignment horizontal="center" vertical="center" wrapText="1"/>
    </xf>
    <xf numFmtId="0" fontId="13" fillId="0" borderId="7" xfId="0" applyFont="1" applyBorder="1" applyAlignment="1">
      <alignment horizontal="center" wrapText="1"/>
    </xf>
    <xf numFmtId="0" fontId="13" fillId="0" borderId="9" xfId="0" applyFont="1" applyBorder="1" applyAlignment="1">
      <alignment horizontal="center" wrapText="1"/>
    </xf>
    <xf numFmtId="0" fontId="56" fillId="5" borderId="2" xfId="0" applyFont="1" applyFill="1" applyBorder="1" applyAlignment="1">
      <alignment horizontal="center" vertical="center" wrapText="1"/>
    </xf>
    <xf numFmtId="0" fontId="33" fillId="0" borderId="7" xfId="0" applyFont="1" applyBorder="1" applyAlignment="1">
      <alignment horizontal="center" vertical="center" wrapText="1"/>
    </xf>
    <xf numFmtId="0" fontId="33" fillId="0" borderId="8" xfId="0" applyFont="1" applyBorder="1" applyAlignment="1">
      <alignment horizontal="center" vertical="center" wrapText="1"/>
    </xf>
    <xf numFmtId="0" fontId="33" fillId="0" borderId="9" xfId="0" applyFont="1" applyBorder="1" applyAlignment="1">
      <alignment horizontal="center" vertical="center" wrapText="1"/>
    </xf>
    <xf numFmtId="0" fontId="7" fillId="5" borderId="2" xfId="0" applyFont="1" applyFill="1" applyBorder="1" applyAlignment="1">
      <alignment vertical="center" wrapText="1"/>
    </xf>
    <xf numFmtId="0" fontId="7" fillId="5" borderId="2" xfId="0" applyFont="1" applyFill="1" applyBorder="1" applyAlignment="1">
      <alignment horizontal="left" vertical="center" wrapText="1"/>
    </xf>
    <xf numFmtId="0" fontId="7" fillId="5" borderId="2" xfId="0" applyFont="1" applyFill="1" applyBorder="1" applyAlignment="1">
      <alignment horizontal="left" vertical="top" wrapText="1"/>
    </xf>
    <xf numFmtId="0" fontId="69" fillId="0" borderId="27" xfId="0" applyFont="1" applyBorder="1" applyAlignment="1">
      <alignment horizontal="center" vertical="center"/>
    </xf>
    <xf numFmtId="0" fontId="69" fillId="0" borderId="28" xfId="0" applyFont="1" applyBorder="1" applyAlignment="1">
      <alignment horizontal="center" vertical="center"/>
    </xf>
    <xf numFmtId="0" fontId="69" fillId="0" borderId="29" xfId="0" applyFont="1" applyBorder="1" applyAlignment="1">
      <alignment horizontal="center" vertical="center"/>
    </xf>
    <xf numFmtId="0" fontId="10" fillId="0" borderId="30" xfId="0" applyFont="1" applyBorder="1" applyAlignment="1">
      <alignment horizontal="right" vertical="center" wrapText="1"/>
    </xf>
    <xf numFmtId="0" fontId="10" fillId="0" borderId="8" xfId="0" applyFont="1" applyBorder="1" applyAlignment="1">
      <alignment horizontal="right" vertical="center" wrapText="1"/>
    </xf>
    <xf numFmtId="0" fontId="10" fillId="0" borderId="31" xfId="0" applyFont="1" applyBorder="1" applyAlignment="1">
      <alignment horizontal="right" vertical="center" wrapText="1"/>
    </xf>
    <xf numFmtId="0" fontId="129" fillId="0" borderId="22" xfId="0" applyFont="1" applyBorder="1" applyAlignment="1">
      <alignment horizontal="left" vertical="center" wrapText="1"/>
    </xf>
    <xf numFmtId="0" fontId="129" fillId="0" borderId="23" xfId="0" applyFont="1" applyBorder="1" applyAlignment="1">
      <alignment horizontal="left" vertical="center" wrapText="1"/>
    </xf>
    <xf numFmtId="0" fontId="129" fillId="0" borderId="24" xfId="0" applyFont="1" applyBorder="1" applyAlignment="1">
      <alignment horizontal="left" vertical="center" wrapText="1"/>
    </xf>
    <xf numFmtId="0" fontId="69" fillId="0" borderId="35" xfId="0" applyFont="1" applyBorder="1" applyAlignment="1">
      <alignment horizontal="center" vertical="center"/>
    </xf>
    <xf numFmtId="0" fontId="69" fillId="0" borderId="36" xfId="0" applyFont="1" applyBorder="1" applyAlignment="1">
      <alignment horizontal="center" vertical="center"/>
    </xf>
    <xf numFmtId="0" fontId="69" fillId="0" borderId="80" xfId="0" applyFont="1" applyBorder="1" applyAlignment="1">
      <alignment horizontal="center" vertical="center"/>
    </xf>
    <xf numFmtId="0" fontId="69" fillId="0" borderId="37" xfId="0" applyFont="1" applyBorder="1" applyAlignment="1">
      <alignment horizontal="center" vertical="center"/>
    </xf>
    <xf numFmtId="0" fontId="10" fillId="0" borderId="16" xfId="0" applyFont="1" applyBorder="1" applyAlignment="1">
      <alignment horizontal="right" vertical="center" wrapText="1"/>
    </xf>
    <xf numFmtId="0" fontId="78" fillId="0" borderId="2" xfId="0" applyFont="1" applyBorder="1" applyAlignment="1">
      <alignment horizontal="right" vertical="center" wrapText="1"/>
    </xf>
    <xf numFmtId="0" fontId="78" fillId="0" borderId="7" xfId="0" applyFont="1" applyBorder="1" applyAlignment="1">
      <alignment horizontal="right" vertical="center" wrapText="1"/>
    </xf>
    <xf numFmtId="0" fontId="78" fillId="0" borderId="33" xfId="0" applyFont="1" applyBorder="1" applyAlignment="1">
      <alignment horizontal="right" vertical="center" wrapText="1"/>
    </xf>
    <xf numFmtId="0" fontId="129" fillId="0" borderId="20" xfId="0" applyFont="1" applyBorder="1" applyAlignment="1">
      <alignment horizontal="left" vertical="center" wrapText="1"/>
    </xf>
    <xf numFmtId="0" fontId="129" fillId="0" borderId="0" xfId="0" applyFont="1" applyAlignment="1">
      <alignment horizontal="left" vertical="center" wrapText="1"/>
    </xf>
    <xf numFmtId="0" fontId="129" fillId="0" borderId="21" xfId="0" applyFont="1" applyBorder="1" applyAlignment="1">
      <alignment horizontal="left" vertical="center" wrapText="1"/>
    </xf>
    <xf numFmtId="0" fontId="129" fillId="5" borderId="20" xfId="0" applyFont="1" applyFill="1" applyBorder="1" applyAlignment="1">
      <alignment horizontal="left" vertical="top" wrapText="1"/>
    </xf>
    <xf numFmtId="0" fontId="129" fillId="5" borderId="0" xfId="0" applyFont="1" applyFill="1" applyAlignment="1">
      <alignment horizontal="left" vertical="top" wrapText="1"/>
    </xf>
    <xf numFmtId="0" fontId="129" fillId="5" borderId="21" xfId="0" applyFont="1" applyFill="1" applyBorder="1" applyAlignment="1">
      <alignment horizontal="left" vertical="top" wrapText="1"/>
    </xf>
    <xf numFmtId="0" fontId="129" fillId="0" borderId="2" xfId="0" applyFont="1" applyBorder="1" applyAlignment="1">
      <alignment horizontal="left" vertical="center" wrapText="1"/>
    </xf>
    <xf numFmtId="0" fontId="124" fillId="0" borderId="16" xfId="0" applyFont="1" applyBorder="1" applyAlignment="1">
      <alignment horizontal="right" vertical="center" wrapText="1"/>
    </xf>
    <xf numFmtId="0" fontId="124" fillId="0" borderId="2" xfId="0" applyFont="1" applyBorder="1" applyAlignment="1">
      <alignment horizontal="right" vertical="center" wrapText="1"/>
    </xf>
    <xf numFmtId="0" fontId="124" fillId="0" borderId="7" xfId="0" applyFont="1" applyBorder="1" applyAlignment="1">
      <alignment horizontal="right" vertical="center" wrapText="1"/>
    </xf>
    <xf numFmtId="0" fontId="124" fillId="0" borderId="33" xfId="0" applyFont="1" applyBorder="1" applyAlignment="1">
      <alignment horizontal="right" vertical="center" wrapText="1"/>
    </xf>
    <xf numFmtId="0" fontId="124" fillId="0" borderId="20" xfId="0" applyFont="1" applyBorder="1" applyAlignment="1">
      <alignment horizontal="left" vertical="center" wrapText="1"/>
    </xf>
    <xf numFmtId="0" fontId="124" fillId="0" borderId="0" xfId="0" applyFont="1" applyAlignment="1">
      <alignment horizontal="left" vertical="center" wrapText="1"/>
    </xf>
    <xf numFmtId="0" fontId="124" fillId="0" borderId="21" xfId="0" applyFont="1" applyBorder="1" applyAlignment="1">
      <alignment horizontal="left" vertical="center" wrapText="1"/>
    </xf>
    <xf numFmtId="0" fontId="124" fillId="0" borderId="22" xfId="0" applyFont="1" applyBorder="1" applyAlignment="1">
      <alignment horizontal="left" wrapText="1"/>
    </xf>
    <xf numFmtId="0" fontId="124" fillId="0" borderId="23" xfId="0" applyFont="1" applyBorder="1" applyAlignment="1">
      <alignment horizontal="left" wrapText="1"/>
    </xf>
    <xf numFmtId="0" fontId="124" fillId="0" borderId="24" xfId="0" applyFont="1" applyBorder="1" applyAlignment="1">
      <alignment horizontal="left" wrapText="1"/>
    </xf>
    <xf numFmtId="0" fontId="58" fillId="0" borderId="55" xfId="16" applyFont="1" applyBorder="1" applyAlignment="1">
      <alignment horizontal="left" vertical="center" wrapText="1"/>
    </xf>
    <xf numFmtId="0" fontId="58" fillId="0" borderId="12" xfId="16" applyFont="1" applyBorder="1" applyAlignment="1">
      <alignment horizontal="left" vertical="center" wrapText="1"/>
    </xf>
    <xf numFmtId="0" fontId="71" fillId="0" borderId="55" xfId="16" applyFont="1" applyBorder="1" applyAlignment="1">
      <alignment horizontal="left" vertical="center" wrapText="1"/>
    </xf>
    <xf numFmtId="0" fontId="71" fillId="0" borderId="12" xfId="16" applyFont="1" applyBorder="1" applyAlignment="1">
      <alignment horizontal="left" vertical="center" wrapText="1"/>
    </xf>
    <xf numFmtId="0" fontId="58" fillId="0" borderId="55" xfId="16" applyFont="1" applyBorder="1" applyAlignment="1">
      <alignment horizontal="center" vertical="center"/>
    </xf>
    <xf numFmtId="0" fontId="58" fillId="0" borderId="12" xfId="16" applyFont="1" applyBorder="1" applyAlignment="1">
      <alignment horizontal="center" vertical="center"/>
    </xf>
    <xf numFmtId="0" fontId="23" fillId="0" borderId="2" xfId="16" applyFont="1" applyBorder="1" applyAlignment="1">
      <alignment horizontal="left" vertical="center"/>
    </xf>
    <xf numFmtId="0" fontId="23" fillId="0" borderId="30" xfId="16" applyFont="1" applyBorder="1" applyAlignment="1">
      <alignment horizontal="left" vertical="center"/>
    </xf>
    <xf numFmtId="0" fontId="23" fillId="0" borderId="8" xfId="16" applyFont="1" applyBorder="1" applyAlignment="1">
      <alignment horizontal="left" vertical="center"/>
    </xf>
    <xf numFmtId="0" fontId="23" fillId="0" borderId="9" xfId="16" applyFont="1" applyBorder="1" applyAlignment="1">
      <alignment horizontal="left" vertical="center"/>
    </xf>
    <xf numFmtId="0" fontId="58" fillId="5" borderId="47" xfId="16" applyFont="1" applyFill="1" applyBorder="1" applyAlignment="1">
      <alignment horizontal="left" vertical="center"/>
    </xf>
    <xf numFmtId="0" fontId="58" fillId="5" borderId="13" xfId="16" applyFont="1" applyFill="1" applyBorder="1" applyAlignment="1">
      <alignment horizontal="left" vertical="center"/>
    </xf>
    <xf numFmtId="0" fontId="23" fillId="0" borderId="2" xfId="16" applyFont="1" applyBorder="1" applyAlignment="1">
      <alignment horizontal="center" vertical="center"/>
    </xf>
    <xf numFmtId="0" fontId="23" fillId="0" borderId="2" xfId="16" applyFont="1" applyBorder="1" applyAlignment="1">
      <alignment horizontal="right" vertical="center"/>
    </xf>
    <xf numFmtId="0" fontId="12" fillId="0" borderId="12" xfId="16" applyFont="1" applyBorder="1" applyAlignment="1">
      <alignment horizontal="left" vertical="center" wrapText="1"/>
    </xf>
    <xf numFmtId="0" fontId="23" fillId="0" borderId="0" xfId="16" applyFont="1" applyAlignment="1">
      <alignment horizontal="center" vertical="center"/>
    </xf>
    <xf numFmtId="0" fontId="44" fillId="0" borderId="0" xfId="16" applyFont="1" applyAlignment="1">
      <alignment horizontal="right" vertical="center"/>
    </xf>
    <xf numFmtId="0" fontId="12" fillId="0" borderId="12" xfId="16" applyFont="1" applyBorder="1" applyAlignment="1">
      <alignment horizontal="left" vertical="center"/>
    </xf>
    <xf numFmtId="0" fontId="12" fillId="0" borderId="2" xfId="16" applyFont="1" applyBorder="1" applyAlignment="1">
      <alignment horizontal="center"/>
    </xf>
    <xf numFmtId="168" fontId="12" fillId="0" borderId="8" xfId="16" applyNumberFormat="1" applyFont="1" applyBorder="1" applyAlignment="1">
      <alignment horizontal="center"/>
    </xf>
    <xf numFmtId="0" fontId="12" fillId="0" borderId="7" xfId="16" applyFont="1" applyBorder="1" applyAlignment="1">
      <alignment horizontal="center"/>
    </xf>
    <xf numFmtId="0" fontId="12" fillId="0" borderId="8" xfId="16" applyFont="1" applyBorder="1" applyAlignment="1">
      <alignment horizontal="center"/>
    </xf>
    <xf numFmtId="168" fontId="12" fillId="0" borderId="2" xfId="16" applyNumberFormat="1" applyFont="1" applyBorder="1" applyAlignment="1">
      <alignment horizontal="center"/>
    </xf>
    <xf numFmtId="1" fontId="12" fillId="0" borderId="2" xfId="16" applyNumberFormat="1" applyFont="1" applyBorder="1" applyAlignment="1">
      <alignment horizontal="center"/>
    </xf>
    <xf numFmtId="0" fontId="7" fillId="0" borderId="2" xfId="0" applyFont="1" applyBorder="1" applyAlignment="1">
      <alignment horizontal="center" vertical="center" wrapText="1"/>
    </xf>
    <xf numFmtId="0" fontId="7" fillId="0" borderId="2" xfId="0" applyFont="1" applyBorder="1" applyAlignment="1">
      <alignment horizontal="center" vertical="center"/>
    </xf>
    <xf numFmtId="0" fontId="34" fillId="0" borderId="2" xfId="0" applyFont="1" applyBorder="1" applyAlignment="1">
      <alignment horizontal="center" vertical="center"/>
    </xf>
    <xf numFmtId="0" fontId="7" fillId="0" borderId="3" xfId="0" applyFont="1" applyBorder="1" applyAlignment="1">
      <alignment horizontal="center" vertical="center"/>
    </xf>
    <xf numFmtId="0" fontId="7" fillId="0" borderId="6" xfId="0" applyFont="1" applyBorder="1" applyAlignment="1">
      <alignment horizontal="center" vertical="center"/>
    </xf>
    <xf numFmtId="0" fontId="7" fillId="0" borderId="5" xfId="0" applyFont="1" applyBorder="1" applyAlignment="1">
      <alignment horizontal="center" vertical="center"/>
    </xf>
    <xf numFmtId="0" fontId="10" fillId="0" borderId="2" xfId="0" applyFont="1" applyBorder="1" applyAlignment="1">
      <alignment horizontal="center" vertical="center" wrapText="1"/>
    </xf>
    <xf numFmtId="0" fontId="3" fillId="14" borderId="2" xfId="55" applyFont="1" applyFill="1" applyBorder="1" applyAlignment="1">
      <alignment horizontal="center" vertical="center"/>
    </xf>
    <xf numFmtId="0" fontId="175" fillId="18" borderId="0" xfId="80" applyFont="1" applyFill="1" applyAlignment="1">
      <alignment horizontal="center" vertical="center" wrapText="1"/>
    </xf>
    <xf numFmtId="0" fontId="220" fillId="0" borderId="3" xfId="0" applyFont="1" applyBorder="1" applyAlignment="1">
      <alignment horizontal="center" vertical="center"/>
    </xf>
    <xf numFmtId="0" fontId="220" fillId="0" borderId="6" xfId="0" applyFont="1" applyBorder="1" applyAlignment="1">
      <alignment horizontal="center" vertical="center"/>
    </xf>
    <xf numFmtId="0" fontId="220" fillId="0" borderId="5" xfId="0" applyFont="1" applyBorder="1" applyAlignment="1">
      <alignment horizontal="center" vertical="center"/>
    </xf>
    <xf numFmtId="0" fontId="3" fillId="13" borderId="2" xfId="55" applyFont="1" applyFill="1" applyBorder="1" applyAlignment="1">
      <alignment horizontal="center" vertical="center"/>
    </xf>
    <xf numFmtId="0" fontId="1" fillId="0" borderId="2" xfId="55" applyBorder="1" applyAlignment="1">
      <alignment horizontal="left" vertical="center" wrapText="1"/>
    </xf>
    <xf numFmtId="0" fontId="0" fillId="0" borderId="7" xfId="55" applyFont="1" applyBorder="1" applyAlignment="1">
      <alignment horizontal="left" vertical="center" wrapText="1"/>
    </xf>
    <xf numFmtId="0" fontId="0" fillId="0" borderId="8" xfId="55" applyFont="1" applyBorder="1" applyAlignment="1">
      <alignment horizontal="left" vertical="center" wrapText="1"/>
    </xf>
    <xf numFmtId="0" fontId="0" fillId="0" borderId="9" xfId="55" applyFont="1" applyBorder="1" applyAlignment="1">
      <alignment horizontal="left" vertical="center" wrapText="1"/>
    </xf>
    <xf numFmtId="0" fontId="69" fillId="5" borderId="57" xfId="18" applyFont="1" applyFill="1" applyBorder="1" applyAlignment="1">
      <alignment horizontal="center" vertical="top"/>
    </xf>
    <xf numFmtId="0" fontId="69" fillId="5" borderId="58" xfId="18" applyFont="1" applyFill="1" applyBorder="1" applyAlignment="1">
      <alignment horizontal="center" vertical="top"/>
    </xf>
    <xf numFmtId="0" fontId="69" fillId="5" borderId="59" xfId="18" applyFont="1" applyFill="1" applyBorder="1" applyAlignment="1">
      <alignment horizontal="center" vertical="top"/>
    </xf>
    <xf numFmtId="0" fontId="23" fillId="5" borderId="57" xfId="20" applyFont="1" applyFill="1" applyBorder="1" applyAlignment="1">
      <alignment horizontal="center" vertical="center"/>
    </xf>
    <xf numFmtId="0" fontId="23" fillId="5" borderId="58" xfId="20" applyFont="1" applyFill="1" applyBorder="1" applyAlignment="1">
      <alignment horizontal="center" vertical="center"/>
    </xf>
    <xf numFmtId="0" fontId="23" fillId="5" borderId="59" xfId="20" applyFont="1" applyFill="1" applyBorder="1" applyAlignment="1">
      <alignment horizontal="center" vertical="center"/>
    </xf>
    <xf numFmtId="0" fontId="3" fillId="0" borderId="2" xfId="0" applyFont="1" applyBorder="1" applyAlignment="1">
      <alignment horizontal="center" vertical="center"/>
    </xf>
    <xf numFmtId="0" fontId="179" fillId="0" borderId="2" xfId="0" applyFont="1" applyBorder="1" applyAlignment="1">
      <alignment horizontal="right" vertical="center"/>
    </xf>
    <xf numFmtId="0" fontId="175" fillId="0" borderId="2" xfId="0" applyFont="1" applyBorder="1" applyAlignment="1">
      <alignment horizontal="center" vertical="center"/>
    </xf>
    <xf numFmtId="0" fontId="15" fillId="0" borderId="12" xfId="0" applyFont="1" applyBorder="1" applyAlignment="1">
      <alignment horizontal="left"/>
    </xf>
    <xf numFmtId="0" fontId="13" fillId="20" borderId="7" xfId="0" applyFont="1" applyFill="1" applyBorder="1" applyAlignment="1">
      <alignment horizontal="center" vertical="center" wrapText="1"/>
    </xf>
    <xf numFmtId="0" fontId="13" fillId="20" borderId="8" xfId="0" applyFont="1" applyFill="1" applyBorder="1" applyAlignment="1">
      <alignment horizontal="center" vertical="center" wrapText="1"/>
    </xf>
    <xf numFmtId="0" fontId="13" fillId="20" borderId="9" xfId="0" applyFont="1" applyFill="1" applyBorder="1" applyAlignment="1">
      <alignment horizontal="center" vertical="center" wrapText="1"/>
    </xf>
    <xf numFmtId="0" fontId="13" fillId="20" borderId="11" xfId="0" applyFont="1" applyFill="1" applyBorder="1" applyAlignment="1">
      <alignment horizontal="center" vertical="center" wrapText="1"/>
    </xf>
    <xf numFmtId="0" fontId="13" fillId="20" borderId="13" xfId="0" applyFont="1" applyFill="1" applyBorder="1" applyAlignment="1">
      <alignment horizontal="center" vertical="center" wrapText="1"/>
    </xf>
    <xf numFmtId="0" fontId="36" fillId="0" borderId="3" xfId="0" applyFont="1" applyBorder="1" applyAlignment="1">
      <alignment horizontal="center" vertical="center"/>
    </xf>
    <xf numFmtId="0" fontId="36" fillId="0" borderId="5" xfId="0" applyFont="1" applyBorder="1" applyAlignment="1">
      <alignment horizontal="center" vertical="center"/>
    </xf>
    <xf numFmtId="0" fontId="36" fillId="0" borderId="3" xfId="0" applyFont="1" applyBorder="1" applyAlignment="1">
      <alignment horizontal="left" vertical="center" wrapText="1"/>
    </xf>
    <xf numFmtId="0" fontId="36" fillId="0" borderId="5" xfId="0" applyFont="1" applyBorder="1" applyAlignment="1">
      <alignment horizontal="left" vertical="center" wrapText="1"/>
    </xf>
    <xf numFmtId="0" fontId="36" fillId="0" borderId="2" xfId="0" applyFont="1" applyBorder="1" applyAlignment="1">
      <alignment horizontal="left" vertical="center"/>
    </xf>
    <xf numFmtId="0" fontId="13" fillId="5" borderId="2" xfId="0" applyFont="1" applyFill="1" applyBorder="1" applyAlignment="1">
      <alignment horizontal="left" vertical="center"/>
    </xf>
    <xf numFmtId="0" fontId="202" fillId="5" borderId="7" xfId="0" applyFont="1" applyFill="1" applyBorder="1" applyAlignment="1">
      <alignment horizontal="right" vertical="center" wrapText="1"/>
    </xf>
    <xf numFmtId="0" fontId="202" fillId="5" borderId="8" xfId="0" applyFont="1" applyFill="1" applyBorder="1" applyAlignment="1">
      <alignment horizontal="right" vertical="center" wrapText="1"/>
    </xf>
    <xf numFmtId="0" fontId="15" fillId="0" borderId="12" xfId="0" applyFont="1" applyBorder="1" applyAlignment="1">
      <alignment horizontal="left" vertical="center"/>
    </xf>
    <xf numFmtId="0" fontId="36" fillId="5" borderId="3" xfId="0" applyFont="1" applyFill="1" applyBorder="1" applyAlignment="1">
      <alignment horizontal="center" vertical="center"/>
    </xf>
    <xf numFmtId="0" fontId="36" fillId="5" borderId="5" xfId="0" applyFont="1" applyFill="1" applyBorder="1" applyAlignment="1">
      <alignment horizontal="center" vertical="center"/>
    </xf>
    <xf numFmtId="0" fontId="36" fillId="5" borderId="3" xfId="0" applyFont="1" applyFill="1" applyBorder="1" applyAlignment="1">
      <alignment horizontal="left" vertical="center" wrapText="1"/>
    </xf>
    <xf numFmtId="0" fontId="36" fillId="5" borderId="5" xfId="0" applyFont="1" applyFill="1" applyBorder="1" applyAlignment="1">
      <alignment horizontal="left" vertical="center" wrapText="1"/>
    </xf>
    <xf numFmtId="0" fontId="13" fillId="5" borderId="8" xfId="0" applyFont="1" applyFill="1" applyBorder="1" applyAlignment="1">
      <alignment horizontal="center" vertical="center" wrapText="1"/>
    </xf>
    <xf numFmtId="0" fontId="158" fillId="11" borderId="20" xfId="0" applyFont="1" applyFill="1" applyBorder="1" applyAlignment="1">
      <alignment horizontal="left" vertical="center" wrapText="1"/>
    </xf>
    <xf numFmtId="0" fontId="158" fillId="11" borderId="0" xfId="0" applyFont="1" applyFill="1" applyAlignment="1">
      <alignment horizontal="left" vertical="center" wrapText="1"/>
    </xf>
    <xf numFmtId="0" fontId="158" fillId="11" borderId="21" xfId="0" applyFont="1" applyFill="1" applyBorder="1" applyAlignment="1">
      <alignment horizontal="left" vertical="center" wrapText="1"/>
    </xf>
    <xf numFmtId="0" fontId="159" fillId="11" borderId="22" xfId="2" applyFont="1" applyFill="1" applyBorder="1" applyAlignment="1">
      <alignment horizontal="left" vertical="center" wrapText="1"/>
    </xf>
    <xf numFmtId="0" fontId="159" fillId="11" borderId="23" xfId="2" applyFont="1" applyFill="1" applyBorder="1" applyAlignment="1">
      <alignment horizontal="left" vertical="center" wrapText="1"/>
    </xf>
    <xf numFmtId="0" fontId="159" fillId="11" borderId="24" xfId="2" applyFont="1" applyFill="1" applyBorder="1" applyAlignment="1">
      <alignment horizontal="left" vertical="center" wrapText="1"/>
    </xf>
    <xf numFmtId="0" fontId="0" fillId="0" borderId="7" xfId="0" applyBorder="1" applyAlignment="1">
      <alignment horizontal="left"/>
    </xf>
    <xf numFmtId="0" fontId="0" fillId="0" borderId="9" xfId="0" applyBorder="1" applyAlignment="1">
      <alignment horizontal="left"/>
    </xf>
    <xf numFmtId="0" fontId="3" fillId="0" borderId="7" xfId="0" applyFont="1" applyBorder="1" applyAlignment="1">
      <alignment horizontal="left"/>
    </xf>
    <xf numFmtId="0" fontId="3" fillId="0" borderId="9" xfId="0" applyFont="1" applyBorder="1" applyAlignment="1">
      <alignment horizontal="left"/>
    </xf>
    <xf numFmtId="0" fontId="0" fillId="0" borderId="7" xfId="0" applyBorder="1" applyAlignment="1">
      <alignment horizontal="center"/>
    </xf>
    <xf numFmtId="0" fontId="0" fillId="0" borderId="31" xfId="0" applyBorder="1" applyAlignment="1">
      <alignment horizontal="center"/>
    </xf>
    <xf numFmtId="0" fontId="3" fillId="0" borderId="7" xfId="0" applyFont="1" applyBorder="1" applyAlignment="1">
      <alignment horizontal="center"/>
    </xf>
    <xf numFmtId="0" fontId="3" fillId="0" borderId="31" xfId="0" applyFont="1" applyBorder="1" applyAlignment="1">
      <alignment horizontal="center"/>
    </xf>
    <xf numFmtId="0" fontId="158" fillId="11" borderId="55" xfId="0" applyFont="1" applyFill="1" applyBorder="1" applyAlignment="1">
      <alignment horizontal="left" vertical="center" wrapText="1"/>
    </xf>
    <xf numFmtId="0" fontId="158" fillId="11" borderId="12" xfId="0" applyFont="1" applyFill="1" applyBorder="1" applyAlignment="1">
      <alignment horizontal="left" vertical="center" wrapText="1"/>
    </xf>
    <xf numFmtId="0" fontId="158" fillId="11" borderId="51" xfId="0" applyFont="1" applyFill="1" applyBorder="1" applyAlignment="1">
      <alignment horizontal="left" vertical="center" wrapText="1"/>
    </xf>
    <xf numFmtId="168" fontId="71" fillId="5" borderId="2" xfId="0" applyNumberFormat="1" applyFont="1" applyFill="1" applyBorder="1" applyAlignment="1">
      <alignment horizontal="center" vertical="center" shrinkToFit="1"/>
    </xf>
    <xf numFmtId="168" fontId="71" fillId="5" borderId="33" xfId="0" applyNumberFormat="1" applyFont="1" applyFill="1" applyBorder="1" applyAlignment="1">
      <alignment horizontal="center" vertical="center" shrinkToFit="1"/>
    </xf>
    <xf numFmtId="0" fontId="23" fillId="0" borderId="17" xfId="21" applyFont="1" applyBorder="1" applyAlignment="1">
      <alignment horizontal="center" vertical="center"/>
    </xf>
    <xf numFmtId="0" fontId="23" fillId="0" borderId="18" xfId="21" applyFont="1" applyBorder="1" applyAlignment="1">
      <alignment horizontal="center" vertical="center"/>
    </xf>
    <xf numFmtId="0" fontId="23" fillId="0" borderId="19" xfId="21" applyFont="1" applyBorder="1" applyAlignment="1">
      <alignment horizontal="center" vertical="center"/>
    </xf>
    <xf numFmtId="0" fontId="9" fillId="0" borderId="10" xfId="0" applyFont="1" applyBorder="1" applyAlignment="1">
      <alignment horizontal="center" vertical="center"/>
    </xf>
    <xf numFmtId="0" fontId="9" fillId="0" borderId="4" xfId="0" applyFont="1" applyBorder="1" applyAlignment="1">
      <alignment horizontal="center" vertical="center"/>
    </xf>
    <xf numFmtId="0" fontId="36" fillId="0" borderId="33" xfId="0" applyFont="1" applyBorder="1" applyAlignment="1">
      <alignment horizontal="center" vertical="center" wrapText="1"/>
    </xf>
    <xf numFmtId="0" fontId="58" fillId="0" borderId="2" xfId="0" applyFont="1" applyBorder="1" applyAlignment="1">
      <alignment horizontal="center" vertical="center" shrinkToFit="1"/>
    </xf>
    <xf numFmtId="0" fontId="23" fillId="0" borderId="16" xfId="22" applyFont="1" applyBorder="1" applyAlignment="1">
      <alignment horizontal="center" vertical="center"/>
    </xf>
    <xf numFmtId="0" fontId="23" fillId="0" borderId="2" xfId="22" applyFont="1" applyBorder="1" applyAlignment="1">
      <alignment horizontal="center" vertical="center"/>
    </xf>
    <xf numFmtId="0" fontId="23" fillId="0" borderId="33" xfId="22" applyFont="1" applyBorder="1" applyAlignment="1">
      <alignment horizontal="center" vertical="center"/>
    </xf>
    <xf numFmtId="168" fontId="23" fillId="0" borderId="16" xfId="22" applyNumberFormat="1" applyFont="1" applyBorder="1" applyAlignment="1">
      <alignment horizontal="center" vertical="center" wrapText="1"/>
    </xf>
    <xf numFmtId="168" fontId="23" fillId="0" borderId="2" xfId="22" applyNumberFormat="1" applyFont="1" applyBorder="1" applyAlignment="1">
      <alignment horizontal="center" vertical="center" wrapText="1"/>
    </xf>
    <xf numFmtId="168" fontId="23" fillId="0" borderId="33" xfId="22" applyNumberFormat="1" applyFont="1" applyBorder="1" applyAlignment="1">
      <alignment horizontal="center" vertical="center" wrapText="1"/>
    </xf>
    <xf numFmtId="0" fontId="15" fillId="5" borderId="20" xfId="22" applyFont="1" applyFill="1" applyBorder="1" applyAlignment="1">
      <alignment horizontal="left" vertical="center" wrapText="1"/>
    </xf>
    <xf numFmtId="0" fontId="15" fillId="5" borderId="0" xfId="22" applyFont="1" applyFill="1" applyAlignment="1">
      <alignment horizontal="left" vertical="center" wrapText="1"/>
    </xf>
    <xf numFmtId="0" fontId="15" fillId="5" borderId="21" xfId="22" applyFont="1" applyFill="1" applyBorder="1" applyAlignment="1">
      <alignment horizontal="left" vertical="center" wrapText="1"/>
    </xf>
    <xf numFmtId="0" fontId="34" fillId="0" borderId="16" xfId="22" applyFont="1" applyBorder="1" applyAlignment="1">
      <alignment horizontal="center" vertical="center"/>
    </xf>
    <xf numFmtId="0" fontId="34" fillId="0" borderId="2" xfId="22" applyFont="1" applyBorder="1" applyAlignment="1">
      <alignment horizontal="center" vertical="center"/>
    </xf>
    <xf numFmtId="0" fontId="34" fillId="0" borderId="33" xfId="22" applyFont="1" applyBorder="1" applyAlignment="1">
      <alignment horizontal="center" vertical="center"/>
    </xf>
    <xf numFmtId="0" fontId="222" fillId="0" borderId="7" xfId="0" applyFont="1" applyBorder="1" applyAlignment="1">
      <alignment horizontal="center"/>
    </xf>
    <xf numFmtId="0" fontId="222" fillId="0" borderId="9" xfId="0" applyFont="1" applyBorder="1" applyAlignment="1">
      <alignment horizontal="center"/>
    </xf>
    <xf numFmtId="0" fontId="15" fillId="5" borderId="20" xfId="22" applyFont="1" applyFill="1" applyBorder="1" applyAlignment="1">
      <alignment horizontal="left" vertical="top" wrapText="1"/>
    </xf>
    <xf numFmtId="0" fontId="15" fillId="5" borderId="0" xfId="22" applyFont="1" applyFill="1" applyAlignment="1">
      <alignment horizontal="left" vertical="top" wrapText="1"/>
    </xf>
    <xf numFmtId="0" fontId="15" fillId="5" borderId="21" xfId="22" applyFont="1" applyFill="1" applyBorder="1" applyAlignment="1">
      <alignment horizontal="left" vertical="top" wrapText="1"/>
    </xf>
    <xf numFmtId="0" fontId="173" fillId="0" borderId="16" xfId="0" applyFont="1" applyBorder="1" applyAlignment="1">
      <alignment horizontal="center" vertical="center" wrapText="1"/>
    </xf>
    <xf numFmtId="0" fontId="173" fillId="0" borderId="2" xfId="0" applyFont="1" applyBorder="1" applyAlignment="1">
      <alignment horizontal="center" vertical="center" wrapText="1"/>
    </xf>
    <xf numFmtId="0" fontId="7" fillId="0" borderId="33" xfId="0" applyFont="1" applyBorder="1" applyAlignment="1">
      <alignment horizontal="center" vertical="center"/>
    </xf>
    <xf numFmtId="0" fontId="222" fillId="0" borderId="31" xfId="0" applyFont="1" applyBorder="1" applyAlignment="1">
      <alignment horizontal="center"/>
    </xf>
    <xf numFmtId="0" fontId="58" fillId="0" borderId="7" xfId="0" applyFont="1" applyBorder="1" applyAlignment="1">
      <alignment horizontal="center" vertical="center" shrinkToFit="1"/>
    </xf>
    <xf numFmtId="0" fontId="58" fillId="0" borderId="9" xfId="0" applyFont="1" applyBorder="1" applyAlignment="1">
      <alignment horizontal="center" vertical="center" shrinkToFit="1"/>
    </xf>
    <xf numFmtId="0" fontId="71" fillId="0" borderId="2" xfId="0" applyFont="1" applyBorder="1" applyAlignment="1">
      <alignment horizontal="center" vertical="center" shrinkToFit="1"/>
    </xf>
    <xf numFmtId="0" fontId="71" fillId="5" borderId="7" xfId="0" applyFont="1" applyFill="1" applyBorder="1" applyAlignment="1">
      <alignment horizontal="center" vertical="center" shrinkToFit="1"/>
    </xf>
    <xf numFmtId="0" fontId="71" fillId="5" borderId="31" xfId="0" applyFont="1" applyFill="1" applyBorder="1" applyAlignment="1">
      <alignment horizontal="center" vertical="center" shrinkToFit="1"/>
    </xf>
    <xf numFmtId="0" fontId="7" fillId="5" borderId="55" xfId="0" applyFont="1" applyFill="1" applyBorder="1" applyAlignment="1" applyProtection="1">
      <alignment horizontal="left" vertical="center" wrapText="1" shrinkToFit="1"/>
      <protection locked="0"/>
    </xf>
    <xf numFmtId="0" fontId="7" fillId="5" borderId="12" xfId="0" applyFont="1" applyFill="1" applyBorder="1" applyAlignment="1" applyProtection="1">
      <alignment horizontal="left" vertical="center" wrapText="1" shrinkToFit="1"/>
      <protection locked="0"/>
    </xf>
    <xf numFmtId="0" fontId="7" fillId="5" borderId="51" xfId="0" applyFont="1" applyFill="1" applyBorder="1" applyAlignment="1" applyProtection="1">
      <alignment horizontal="left" vertical="center" wrapText="1" shrinkToFit="1"/>
      <protection locked="0"/>
    </xf>
    <xf numFmtId="0" fontId="164" fillId="0" borderId="7" xfId="0" applyFont="1" applyBorder="1" applyAlignment="1">
      <alignment horizontal="center"/>
    </xf>
    <xf numFmtId="0" fontId="164" fillId="0" borderId="9" xfId="0" applyFont="1" applyBorder="1" applyAlignment="1">
      <alignment horizontal="center"/>
    </xf>
    <xf numFmtId="0" fontId="15" fillId="0" borderId="55" xfId="23" applyFont="1" applyBorder="1" applyAlignment="1">
      <alignment horizontal="left" vertical="center" wrapText="1"/>
    </xf>
    <xf numFmtId="0" fontId="15" fillId="0" borderId="12" xfId="23" applyFont="1" applyBorder="1" applyAlignment="1">
      <alignment horizontal="left" vertical="center" wrapText="1"/>
    </xf>
    <xf numFmtId="0" fontId="15" fillId="0" borderId="51" xfId="23" applyFont="1" applyBorder="1" applyAlignment="1">
      <alignment horizontal="left" vertical="center" wrapText="1"/>
    </xf>
    <xf numFmtId="0" fontId="130" fillId="0" borderId="2" xfId="0" applyFont="1" applyBorder="1" applyAlignment="1" applyProtection="1">
      <alignment horizontal="center" vertical="center"/>
      <protection locked="0"/>
    </xf>
    <xf numFmtId="0" fontId="130" fillId="0" borderId="3" xfId="0" applyFont="1" applyBorder="1" applyAlignment="1" applyProtection="1">
      <alignment horizontal="center" vertical="center" wrapText="1"/>
      <protection locked="0"/>
    </xf>
    <xf numFmtId="0" fontId="130" fillId="0" borderId="6" xfId="0" applyFont="1" applyBorder="1" applyAlignment="1" applyProtection="1">
      <alignment horizontal="center" vertical="center" wrapText="1"/>
      <protection locked="0"/>
    </xf>
    <xf numFmtId="0" fontId="130" fillId="0" borderId="5" xfId="0" applyFont="1" applyBorder="1" applyAlignment="1" applyProtection="1">
      <alignment horizontal="center" vertical="center" wrapText="1"/>
      <protection locked="0"/>
    </xf>
    <xf numFmtId="0" fontId="130" fillId="0" borderId="3" xfId="0" applyFont="1" applyBorder="1" applyAlignment="1" applyProtection="1">
      <alignment horizontal="center" vertical="center"/>
      <protection locked="0"/>
    </xf>
    <xf numFmtId="0" fontId="130" fillId="0" borderId="6" xfId="0" applyFont="1" applyBorder="1" applyAlignment="1" applyProtection="1">
      <alignment horizontal="center" vertical="center"/>
      <protection locked="0"/>
    </xf>
    <xf numFmtId="0" fontId="130" fillId="0" borderId="5" xfId="0" applyFont="1" applyBorder="1" applyAlignment="1" applyProtection="1">
      <alignment horizontal="center" vertical="center"/>
      <protection locked="0"/>
    </xf>
    <xf numFmtId="0" fontId="15" fillId="0" borderId="16" xfId="23" applyFont="1" applyBorder="1" applyAlignment="1">
      <alignment horizontal="left" vertical="center" wrapText="1" shrinkToFit="1"/>
    </xf>
    <xf numFmtId="0" fontId="15" fillId="0" borderId="2" xfId="23" applyFont="1" applyBorder="1" applyAlignment="1">
      <alignment horizontal="left" vertical="center" wrapText="1" shrinkToFit="1"/>
    </xf>
    <xf numFmtId="0" fontId="15" fillId="0" borderId="33" xfId="23" applyFont="1" applyBorder="1" applyAlignment="1">
      <alignment horizontal="left" vertical="center" wrapText="1" shrinkToFit="1"/>
    </xf>
    <xf numFmtId="0" fontId="15" fillId="0" borderId="16" xfId="23" applyFont="1" applyBorder="1" applyAlignment="1">
      <alignment horizontal="left" vertical="center" wrapText="1"/>
    </xf>
    <xf numFmtId="0" fontId="15" fillId="0" borderId="2" xfId="23" applyFont="1" applyBorder="1" applyAlignment="1">
      <alignment horizontal="left" vertical="center" wrapText="1"/>
    </xf>
    <xf numFmtId="0" fontId="15" fillId="0" borderId="33" xfId="23" applyFont="1" applyBorder="1" applyAlignment="1">
      <alignment horizontal="left" vertical="center" wrapText="1"/>
    </xf>
    <xf numFmtId="0" fontId="56" fillId="0" borderId="7" xfId="23" applyFont="1" applyBorder="1" applyAlignment="1">
      <alignment horizontal="left" vertical="center"/>
    </xf>
    <xf numFmtId="0" fontId="56" fillId="0" borderId="8" xfId="23" applyFont="1" applyBorder="1" applyAlignment="1">
      <alignment horizontal="left" vertical="center"/>
    </xf>
    <xf numFmtId="0" fontId="56" fillId="0" borderId="9" xfId="23" applyFont="1" applyBorder="1" applyAlignment="1">
      <alignment horizontal="left" vertical="center"/>
    </xf>
    <xf numFmtId="2" fontId="130" fillId="0" borderId="3" xfId="0" applyNumberFormat="1" applyFont="1" applyBorder="1" applyAlignment="1" applyProtection="1">
      <alignment horizontal="center" vertical="center"/>
      <protection locked="0"/>
    </xf>
    <xf numFmtId="2" fontId="130" fillId="0" borderId="6" xfId="0" applyNumberFormat="1" applyFont="1" applyBorder="1" applyAlignment="1" applyProtection="1">
      <alignment horizontal="center" vertical="center"/>
      <protection locked="0"/>
    </xf>
    <xf numFmtId="2" fontId="130" fillId="0" borderId="5" xfId="0" applyNumberFormat="1" applyFont="1" applyBorder="1" applyAlignment="1" applyProtection="1">
      <alignment horizontal="center" vertical="center"/>
      <protection locked="0"/>
    </xf>
    <xf numFmtId="0" fontId="132" fillId="0" borderId="2" xfId="0" applyFont="1" applyBorder="1" applyAlignment="1" applyProtection="1">
      <alignment horizontal="center" vertical="center"/>
      <protection locked="0"/>
    </xf>
    <xf numFmtId="0" fontId="132" fillId="0" borderId="33" xfId="0" applyFont="1" applyBorder="1" applyAlignment="1" applyProtection="1">
      <alignment horizontal="center" vertical="center"/>
      <protection locked="0"/>
    </xf>
    <xf numFmtId="0" fontId="130" fillId="0" borderId="2" xfId="0" applyFont="1" applyBorder="1" applyAlignment="1" applyProtection="1">
      <alignment horizontal="center" vertical="center" wrapText="1"/>
      <protection locked="0"/>
    </xf>
    <xf numFmtId="0" fontId="130" fillId="0" borderId="33" xfId="0" applyFont="1" applyBorder="1" applyAlignment="1" applyProtection="1">
      <alignment horizontal="center" vertical="center"/>
      <protection locked="0"/>
    </xf>
    <xf numFmtId="0" fontId="130" fillId="0" borderId="34" xfId="0" applyFont="1" applyBorder="1" applyAlignment="1" applyProtection="1">
      <alignment horizontal="center" vertical="center"/>
      <protection locked="0"/>
    </xf>
    <xf numFmtId="0" fontId="130" fillId="0" borderId="69" xfId="0" applyFont="1" applyBorder="1" applyAlignment="1" applyProtection="1">
      <alignment horizontal="center" vertical="center"/>
      <protection locked="0"/>
    </xf>
    <xf numFmtId="0" fontId="130" fillId="0" borderId="56" xfId="0" applyFont="1" applyBorder="1" applyAlignment="1" applyProtection="1">
      <alignment horizontal="center" vertical="center"/>
      <protection locked="0"/>
    </xf>
    <xf numFmtId="0" fontId="56" fillId="0" borderId="35" xfId="23" applyFont="1" applyBorder="1" applyAlignment="1">
      <alignment horizontal="center" vertical="center" wrapText="1"/>
    </xf>
    <xf numFmtId="0" fontId="56" fillId="0" borderId="36" xfId="23" applyFont="1" applyBorder="1" applyAlignment="1">
      <alignment horizontal="center" vertical="center" wrapText="1"/>
    </xf>
    <xf numFmtId="0" fontId="56" fillId="0" borderId="37" xfId="23" applyFont="1" applyBorder="1" applyAlignment="1">
      <alignment horizontal="center" vertical="center" wrapText="1"/>
    </xf>
    <xf numFmtId="0" fontId="56" fillId="0" borderId="7" xfId="23" applyFont="1" applyBorder="1" applyAlignment="1">
      <alignment horizontal="center" vertical="center" wrapText="1"/>
    </xf>
    <xf numFmtId="0" fontId="56" fillId="0" borderId="9" xfId="23" applyFont="1" applyBorder="1" applyAlignment="1">
      <alignment horizontal="center" vertical="center" wrapText="1"/>
    </xf>
    <xf numFmtId="0" fontId="56" fillId="0" borderId="2" xfId="23" applyFont="1" applyBorder="1" applyAlignment="1">
      <alignment horizontal="center" vertical="center" wrapText="1"/>
    </xf>
    <xf numFmtId="0" fontId="56" fillId="0" borderId="33" xfId="23" applyFont="1" applyBorder="1" applyAlignment="1">
      <alignment horizontal="center" vertical="center" wrapText="1"/>
    </xf>
    <xf numFmtId="0" fontId="48" fillId="5" borderId="35" xfId="21" applyFont="1" applyFill="1" applyBorder="1" applyAlignment="1">
      <alignment horizontal="center" vertical="center"/>
    </xf>
    <xf numFmtId="0" fontId="48" fillId="5" borderId="36" xfId="21" applyFont="1" applyFill="1" applyBorder="1" applyAlignment="1">
      <alignment horizontal="center" vertical="center"/>
    </xf>
    <xf numFmtId="0" fontId="48" fillId="5" borderId="37" xfId="21" applyFont="1" applyFill="1" applyBorder="1" applyAlignment="1">
      <alignment horizontal="center" vertical="center"/>
    </xf>
    <xf numFmtId="0" fontId="71" fillId="5" borderId="20" xfId="0" applyFont="1" applyFill="1" applyBorder="1" applyAlignment="1">
      <alignment horizontal="left" vertical="top" wrapText="1"/>
    </xf>
    <xf numFmtId="0" fontId="71" fillId="5" borderId="0" xfId="0" applyFont="1" applyFill="1" applyAlignment="1">
      <alignment horizontal="left" vertical="top" wrapText="1"/>
    </xf>
    <xf numFmtId="0" fontId="71" fillId="5" borderId="21" xfId="0" applyFont="1" applyFill="1" applyBorder="1" applyAlignment="1">
      <alignment horizontal="left" vertical="top" wrapText="1"/>
    </xf>
    <xf numFmtId="0" fontId="71" fillId="5" borderId="22" xfId="0" applyFont="1" applyFill="1" applyBorder="1" applyAlignment="1">
      <alignment horizontal="left" vertical="top" wrapText="1"/>
    </xf>
    <xf numFmtId="0" fontId="71" fillId="5" borderId="23" xfId="0" applyFont="1" applyFill="1" applyBorder="1" applyAlignment="1">
      <alignment horizontal="left" vertical="top" wrapText="1"/>
    </xf>
    <xf numFmtId="0" fontId="71" fillId="5" borderId="24" xfId="0" applyFont="1" applyFill="1" applyBorder="1" applyAlignment="1">
      <alignment horizontal="left" vertical="top" wrapText="1"/>
    </xf>
    <xf numFmtId="0" fontId="48" fillId="0" borderId="30" xfId="20" applyFont="1" applyBorder="1" applyAlignment="1">
      <alignment horizontal="center" vertical="center" wrapText="1"/>
    </xf>
    <xf numFmtId="0" fontId="48" fillId="0" borderId="8" xfId="20" applyFont="1" applyBorder="1" applyAlignment="1">
      <alignment horizontal="center" vertical="center" wrapText="1"/>
    </xf>
    <xf numFmtId="0" fontId="48" fillId="0" borderId="9" xfId="20" applyFont="1" applyBorder="1" applyAlignment="1">
      <alignment horizontal="center" vertical="center" wrapText="1"/>
    </xf>
    <xf numFmtId="0" fontId="9" fillId="0" borderId="7" xfId="21" applyFont="1" applyBorder="1" applyAlignment="1">
      <alignment horizontal="center"/>
    </xf>
    <xf numFmtId="0" fontId="9" fillId="0" borderId="8" xfId="21" applyFont="1" applyBorder="1" applyAlignment="1">
      <alignment horizontal="center"/>
    </xf>
    <xf numFmtId="0" fontId="9" fillId="0" borderId="9" xfId="21" applyFont="1" applyBorder="1" applyAlignment="1">
      <alignment horizontal="center"/>
    </xf>
    <xf numFmtId="0" fontId="10" fillId="0" borderId="7" xfId="0" applyFont="1" applyBorder="1" applyAlignment="1">
      <alignment horizontal="left" vertical="top" wrapText="1"/>
    </xf>
    <xf numFmtId="0" fontId="10" fillId="0" borderId="8" xfId="0" applyFont="1" applyBorder="1" applyAlignment="1">
      <alignment horizontal="left" vertical="top" wrapText="1"/>
    </xf>
    <xf numFmtId="0" fontId="10" fillId="0" borderId="9" xfId="0" applyFont="1" applyBorder="1" applyAlignment="1">
      <alignment horizontal="left" vertical="top" wrapText="1"/>
    </xf>
    <xf numFmtId="0" fontId="9" fillId="0" borderId="7" xfId="21" applyFont="1" applyBorder="1" applyAlignment="1">
      <alignment horizontal="center" vertical="top" wrapText="1"/>
    </xf>
    <xf numFmtId="0" fontId="9" fillId="0" borderId="8" xfId="21" applyFont="1" applyBorder="1" applyAlignment="1">
      <alignment horizontal="center" vertical="top" wrapText="1"/>
    </xf>
    <xf numFmtId="0" fontId="9" fillId="0" borderId="9" xfId="21" applyFont="1" applyBorder="1" applyAlignment="1">
      <alignment horizontal="center" vertical="top" wrapText="1"/>
    </xf>
    <xf numFmtId="0" fontId="33" fillId="5" borderId="57" xfId="0" applyFont="1" applyFill="1" applyBorder="1" applyAlignment="1">
      <alignment horizontal="center"/>
    </xf>
    <xf numFmtId="0" fontId="33" fillId="5" borderId="58" xfId="0" applyFont="1" applyFill="1" applyBorder="1" applyAlignment="1">
      <alignment horizontal="center"/>
    </xf>
    <xf numFmtId="0" fontId="33" fillId="5" borderId="59" xfId="0" applyFont="1" applyFill="1" applyBorder="1" applyAlignment="1">
      <alignment horizontal="center"/>
    </xf>
    <xf numFmtId="1" fontId="10" fillId="0" borderId="2" xfId="0" applyNumberFormat="1" applyFont="1" applyBorder="1" applyAlignment="1">
      <alignment horizontal="center" vertical="center"/>
    </xf>
    <xf numFmtId="1" fontId="10" fillId="0" borderId="33" xfId="0" applyNumberFormat="1" applyFont="1" applyBorder="1" applyAlignment="1">
      <alignment horizontal="center" vertical="center"/>
    </xf>
    <xf numFmtId="1" fontId="10" fillId="5" borderId="7" xfId="0" applyNumberFormat="1" applyFont="1" applyFill="1" applyBorder="1" applyAlignment="1">
      <alignment horizontal="center" vertical="center"/>
    </xf>
    <xf numFmtId="1" fontId="10" fillId="5" borderId="9" xfId="0" applyNumberFormat="1" applyFont="1" applyFill="1" applyBorder="1" applyAlignment="1">
      <alignment horizontal="center" vertical="center"/>
    </xf>
    <xf numFmtId="0" fontId="38" fillId="0" borderId="52" xfId="0" applyFont="1" applyBorder="1" applyAlignment="1">
      <alignment horizontal="left" vertical="top" wrapText="1"/>
    </xf>
    <xf numFmtId="0" fontId="38" fillId="0" borderId="53" xfId="0" applyFont="1" applyBorder="1" applyAlignment="1">
      <alignment horizontal="left" vertical="top" wrapText="1"/>
    </xf>
    <xf numFmtId="0" fontId="38" fillId="0" borderId="54" xfId="0" applyFont="1" applyBorder="1" applyAlignment="1">
      <alignment horizontal="left" vertical="top" wrapText="1"/>
    </xf>
    <xf numFmtId="0" fontId="56" fillId="0" borderId="35" xfId="21" applyFont="1" applyBorder="1" applyAlignment="1">
      <alignment horizontal="center" vertical="center"/>
    </xf>
    <xf numFmtId="0" fontId="56" fillId="0" borderId="36" xfId="21" applyFont="1" applyBorder="1" applyAlignment="1">
      <alignment horizontal="center" vertical="center"/>
    </xf>
    <xf numFmtId="0" fontId="56" fillId="0" borderId="37" xfId="21" applyFont="1" applyBorder="1" applyAlignment="1">
      <alignment horizontal="center" vertical="center"/>
    </xf>
    <xf numFmtId="0" fontId="9" fillId="0" borderId="33" xfId="0" applyFont="1" applyBorder="1" applyAlignment="1">
      <alignment horizontal="center" vertical="center" wrapText="1"/>
    </xf>
    <xf numFmtId="0" fontId="10" fillId="0" borderId="33" xfId="0" applyFont="1" applyBorder="1" applyAlignment="1">
      <alignment horizontal="center" vertical="center" wrapText="1"/>
    </xf>
    <xf numFmtId="1" fontId="15" fillId="5" borderId="7" xfId="0" applyNumberFormat="1" applyFont="1" applyFill="1" applyBorder="1" applyAlignment="1">
      <alignment horizontal="center" vertical="center"/>
    </xf>
    <xf numFmtId="1" fontId="15" fillId="5" borderId="9" xfId="0" applyNumberFormat="1" applyFont="1" applyFill="1" applyBorder="1" applyAlignment="1">
      <alignment horizontal="center" vertical="center"/>
    </xf>
    <xf numFmtId="0" fontId="205" fillId="5" borderId="20" xfId="0" applyFont="1" applyFill="1" applyBorder="1" applyAlignment="1">
      <alignment horizontal="left" vertical="top" wrapText="1"/>
    </xf>
    <xf numFmtId="0" fontId="205" fillId="5" borderId="0" xfId="0" applyFont="1" applyFill="1" applyAlignment="1">
      <alignment horizontal="left" vertical="top" wrapText="1"/>
    </xf>
    <xf numFmtId="0" fontId="205" fillId="5" borderId="21" xfId="0" applyFont="1" applyFill="1" applyBorder="1" applyAlignment="1">
      <alignment horizontal="left" vertical="top" wrapText="1"/>
    </xf>
    <xf numFmtId="0" fontId="206" fillId="0" borderId="20" xfId="0" applyFont="1" applyBorder="1" applyAlignment="1">
      <alignment horizontal="left" vertical="top" wrapText="1"/>
    </xf>
    <xf numFmtId="0" fontId="206" fillId="0" borderId="0" xfId="0" applyFont="1" applyAlignment="1">
      <alignment horizontal="left" vertical="top" wrapText="1"/>
    </xf>
    <xf numFmtId="0" fontId="206" fillId="0" borderId="21" xfId="0" applyFont="1" applyBorder="1" applyAlignment="1">
      <alignment horizontal="left" vertical="top" wrapText="1"/>
    </xf>
    <xf numFmtId="0" fontId="56" fillId="0" borderId="30" xfId="21" applyFont="1" applyBorder="1" applyAlignment="1">
      <alignment horizontal="center" vertical="center"/>
    </xf>
    <xf numFmtId="0" fontId="56" fillId="0" borderId="8" xfId="21" applyFont="1" applyBorder="1" applyAlignment="1">
      <alignment horizontal="center" vertical="center"/>
    </xf>
    <xf numFmtId="0" fontId="56" fillId="0" borderId="31" xfId="21" applyFont="1" applyBorder="1" applyAlignment="1">
      <alignment horizontal="center" vertical="center"/>
    </xf>
    <xf numFmtId="0" fontId="204" fillId="5" borderId="36" xfId="21" applyFont="1" applyFill="1" applyBorder="1" applyAlignment="1">
      <alignment horizontal="center" vertical="center"/>
    </xf>
    <xf numFmtId="0" fontId="64" fillId="0" borderId="0" xfId="0" applyFont="1" applyAlignment="1">
      <alignment horizontal="center"/>
    </xf>
    <xf numFmtId="0" fontId="224" fillId="5" borderId="2" xfId="83" applyFont="1" applyFill="1" applyBorder="1" applyAlignment="1">
      <alignment horizontal="center" vertical="center"/>
    </xf>
    <xf numFmtId="0" fontId="207" fillId="5" borderId="2" xfId="82" applyFont="1" applyFill="1" applyBorder="1" applyAlignment="1">
      <alignment horizontal="left" vertical="top" wrapText="1"/>
    </xf>
    <xf numFmtId="0" fontId="210" fillId="22" borderId="1" xfId="82" applyFont="1" applyFill="1" applyBorder="1" applyAlignment="1">
      <alignment horizontal="center" vertical="top"/>
    </xf>
    <xf numFmtId="0" fontId="210" fillId="22" borderId="0" xfId="82" applyFont="1" applyFill="1" applyAlignment="1">
      <alignment horizontal="center" vertical="top"/>
    </xf>
    <xf numFmtId="0" fontId="209" fillId="21" borderId="7" xfId="82" applyFont="1" applyFill="1" applyBorder="1" applyAlignment="1">
      <alignment horizontal="center" vertical="center" wrapText="1"/>
    </xf>
    <xf numFmtId="0" fontId="209" fillId="21" borderId="8" xfId="82" applyFont="1" applyFill="1" applyBorder="1" applyAlignment="1">
      <alignment horizontal="center" vertical="center" wrapText="1"/>
    </xf>
    <xf numFmtId="0" fontId="209" fillId="21" borderId="7" xfId="82" applyFont="1" applyFill="1" applyBorder="1" applyAlignment="1">
      <alignment horizontal="center" vertical="center"/>
    </xf>
    <xf numFmtId="0" fontId="209" fillId="21" borderId="8" xfId="82" applyFont="1" applyFill="1" applyBorder="1" applyAlignment="1">
      <alignment horizontal="center" vertical="center"/>
    </xf>
    <xf numFmtId="0" fontId="209" fillId="21" borderId="9" xfId="82" applyFont="1" applyFill="1" applyBorder="1" applyAlignment="1">
      <alignment horizontal="center" vertical="center"/>
    </xf>
    <xf numFmtId="0" fontId="207" fillId="5" borderId="7" xfId="82" applyFont="1" applyFill="1" applyBorder="1" applyAlignment="1">
      <alignment horizontal="left" vertical="top" wrapText="1"/>
    </xf>
    <xf numFmtId="0" fontId="207" fillId="5" borderId="8" xfId="82" applyFont="1" applyFill="1" applyBorder="1" applyAlignment="1">
      <alignment horizontal="left" vertical="top" wrapText="1"/>
    </xf>
    <xf numFmtId="0" fontId="207" fillId="5" borderId="9" xfId="82" applyFont="1" applyFill="1" applyBorder="1" applyAlignment="1">
      <alignment horizontal="left" vertical="top" wrapText="1"/>
    </xf>
    <xf numFmtId="0" fontId="209" fillId="21" borderId="2" xfId="82" applyFont="1" applyFill="1" applyBorder="1" applyAlignment="1">
      <alignment horizontal="center" vertical="center" wrapText="1"/>
    </xf>
    <xf numFmtId="0" fontId="10" fillId="5" borderId="7" xfId="24" applyFont="1" applyFill="1" applyBorder="1" applyAlignment="1">
      <alignment horizontal="left" vertical="center" wrapText="1"/>
    </xf>
    <xf numFmtId="0" fontId="10" fillId="5" borderId="8" xfId="24" applyFont="1" applyFill="1" applyBorder="1" applyAlignment="1">
      <alignment horizontal="left" vertical="center" wrapText="1"/>
    </xf>
    <xf numFmtId="0" fontId="10" fillId="5" borderId="9" xfId="24" applyFont="1" applyFill="1" applyBorder="1" applyAlignment="1">
      <alignment horizontal="left" vertical="center" wrapText="1"/>
    </xf>
    <xf numFmtId="0" fontId="9" fillId="5" borderId="7" xfId="24" applyFont="1" applyFill="1" applyBorder="1" applyAlignment="1">
      <alignment horizontal="left" vertical="center" wrapText="1"/>
    </xf>
    <xf numFmtId="0" fontId="9" fillId="5" borderId="8" xfId="24" applyFont="1" applyFill="1" applyBorder="1" applyAlignment="1">
      <alignment horizontal="left" vertical="center" wrapText="1"/>
    </xf>
    <xf numFmtId="0" fontId="9" fillId="5" borderId="9" xfId="24" applyFont="1" applyFill="1" applyBorder="1" applyAlignment="1">
      <alignment horizontal="left" vertical="center" wrapText="1"/>
    </xf>
    <xf numFmtId="0" fontId="9" fillId="5" borderId="2" xfId="0" applyFont="1" applyFill="1" applyBorder="1" applyAlignment="1">
      <alignment horizontal="center" vertical="center" wrapText="1"/>
    </xf>
    <xf numFmtId="0" fontId="9" fillId="5" borderId="2" xfId="0" applyFont="1" applyFill="1" applyBorder="1" applyAlignment="1">
      <alignment horizontal="right" vertical="center" wrapText="1"/>
    </xf>
    <xf numFmtId="0" fontId="9" fillId="5" borderId="7" xfId="24" applyFont="1" applyFill="1" applyBorder="1" applyAlignment="1">
      <alignment horizontal="center" vertical="center" wrapText="1"/>
    </xf>
    <xf numFmtId="0" fontId="9" fillId="5" borderId="8" xfId="24" applyFont="1" applyFill="1" applyBorder="1" applyAlignment="1">
      <alignment horizontal="center" vertical="center" wrapText="1"/>
    </xf>
    <xf numFmtId="0" fontId="9" fillId="5" borderId="9" xfId="24" applyFont="1" applyFill="1" applyBorder="1" applyAlignment="1">
      <alignment horizontal="center" vertical="center" wrapText="1"/>
    </xf>
    <xf numFmtId="0" fontId="9" fillId="0" borderId="2" xfId="24" applyFont="1" applyBorder="1" applyAlignment="1">
      <alignment horizontal="center" vertical="center" wrapText="1"/>
    </xf>
    <xf numFmtId="0" fontId="9" fillId="0" borderId="0" xfId="24" applyFont="1" applyAlignment="1">
      <alignment horizontal="center" vertical="center" wrapText="1"/>
    </xf>
    <xf numFmtId="0" fontId="10" fillId="5" borderId="12" xfId="0" applyFont="1" applyFill="1" applyBorder="1" applyAlignment="1">
      <alignment horizontal="left" vertical="center"/>
    </xf>
    <xf numFmtId="168" fontId="123" fillId="5" borderId="7" xfId="0" applyNumberFormat="1" applyFont="1" applyFill="1" applyBorder="1" applyAlignment="1">
      <alignment horizontal="center" vertical="center"/>
    </xf>
    <xf numFmtId="168" fontId="123" fillId="5" borderId="9" xfId="0" applyNumberFormat="1" applyFont="1" applyFill="1" applyBorder="1" applyAlignment="1">
      <alignment horizontal="center" vertical="center"/>
    </xf>
    <xf numFmtId="168" fontId="125" fillId="5" borderId="7" xfId="0" applyNumberFormat="1" applyFont="1" applyFill="1" applyBorder="1" applyAlignment="1">
      <alignment horizontal="center" vertical="center" wrapText="1"/>
    </xf>
    <xf numFmtId="168" fontId="125" fillId="5" borderId="9" xfId="0" applyNumberFormat="1" applyFont="1" applyFill="1" applyBorder="1" applyAlignment="1">
      <alignment horizontal="center" vertical="center" wrapText="1"/>
    </xf>
    <xf numFmtId="0" fontId="152" fillId="5" borderId="7" xfId="0" applyFont="1" applyFill="1" applyBorder="1" applyAlignment="1">
      <alignment horizontal="center" vertical="center" wrapText="1"/>
    </xf>
    <xf numFmtId="0" fontId="152" fillId="5" borderId="9" xfId="0" applyFont="1" applyFill="1" applyBorder="1" applyAlignment="1">
      <alignment horizontal="center" vertical="center" wrapText="1"/>
    </xf>
    <xf numFmtId="2" fontId="126" fillId="5" borderId="2" xfId="0" applyNumberFormat="1" applyFont="1" applyFill="1" applyBorder="1" applyAlignment="1">
      <alignment horizontal="center" vertical="center"/>
    </xf>
    <xf numFmtId="168" fontId="126" fillId="5" borderId="2" xfId="0" applyNumberFormat="1" applyFont="1" applyFill="1" applyBorder="1" applyAlignment="1">
      <alignment horizontal="center" vertical="center"/>
    </xf>
    <xf numFmtId="0" fontId="124" fillId="5" borderId="10" xfId="0" quotePrefix="1" applyFont="1" applyFill="1" applyBorder="1" applyAlignment="1">
      <alignment horizontal="left" vertical="center" wrapText="1"/>
    </xf>
    <xf numFmtId="0" fontId="124" fillId="5" borderId="12" xfId="0" quotePrefix="1" applyFont="1" applyFill="1" applyBorder="1" applyAlignment="1">
      <alignment horizontal="left" vertical="center" wrapText="1"/>
    </xf>
    <xf numFmtId="0" fontId="124" fillId="5" borderId="4" xfId="0" quotePrefix="1" applyFont="1" applyFill="1" applyBorder="1" applyAlignment="1">
      <alignment horizontal="left" vertical="center" wrapText="1"/>
    </xf>
    <xf numFmtId="0" fontId="124" fillId="5" borderId="11" xfId="0" quotePrefix="1" applyFont="1" applyFill="1" applyBorder="1" applyAlignment="1">
      <alignment horizontal="left" vertical="center" wrapText="1"/>
    </xf>
    <xf numFmtId="0" fontId="124" fillId="5" borderId="13" xfId="0" quotePrefix="1" applyFont="1" applyFill="1" applyBorder="1" applyAlignment="1">
      <alignment horizontal="left" vertical="center" wrapText="1"/>
    </xf>
    <xf numFmtId="0" fontId="124" fillId="5" borderId="14" xfId="0" quotePrefix="1" applyFont="1" applyFill="1" applyBorder="1" applyAlignment="1">
      <alignment horizontal="left" vertical="center" wrapText="1"/>
    </xf>
    <xf numFmtId="0" fontId="125" fillId="5" borderId="2" xfId="27" applyFont="1" applyFill="1" applyBorder="1" applyAlignment="1">
      <alignment horizontal="center" vertical="center" wrapText="1"/>
    </xf>
    <xf numFmtId="0" fontId="125" fillId="5" borderId="30" xfId="0" applyFont="1" applyFill="1" applyBorder="1" applyAlignment="1">
      <alignment horizontal="right" vertical="center" wrapText="1"/>
    </xf>
    <xf numFmtId="0" fontId="125" fillId="5" borderId="8" xfId="0" applyFont="1" applyFill="1" applyBorder="1" applyAlignment="1">
      <alignment horizontal="right" vertical="center" wrapText="1"/>
    </xf>
    <xf numFmtId="0" fontId="125" fillId="5" borderId="9" xfId="0" applyFont="1" applyFill="1" applyBorder="1" applyAlignment="1">
      <alignment horizontal="right" vertical="center" wrapText="1"/>
    </xf>
    <xf numFmtId="0" fontId="123" fillId="5" borderId="7" xfId="16" applyFont="1" applyFill="1" applyBorder="1" applyAlignment="1">
      <alignment horizontal="center" vertical="center" wrapText="1"/>
    </xf>
    <xf numFmtId="0" fontId="123" fillId="5" borderId="9" xfId="16" applyFont="1" applyFill="1" applyBorder="1" applyAlignment="1">
      <alignment horizontal="center" vertical="center" wrapText="1"/>
    </xf>
    <xf numFmtId="168" fontId="125" fillId="5" borderId="2" xfId="0" applyNumberFormat="1" applyFont="1" applyFill="1" applyBorder="1" applyAlignment="1">
      <alignment horizontal="center" vertical="center"/>
    </xf>
    <xf numFmtId="168" fontId="131" fillId="5" borderId="7" xfId="0" applyNumberFormat="1" applyFont="1" applyFill="1" applyBorder="1" applyAlignment="1">
      <alignment horizontal="center" vertical="center"/>
    </xf>
    <xf numFmtId="168" fontId="131" fillId="5" borderId="9" xfId="0" applyNumberFormat="1" applyFont="1" applyFill="1" applyBorder="1" applyAlignment="1">
      <alignment horizontal="center" vertical="center"/>
    </xf>
    <xf numFmtId="0" fontId="125" fillId="5" borderId="30" xfId="0" applyFont="1" applyFill="1" applyBorder="1" applyAlignment="1">
      <alignment horizontal="left" vertical="center"/>
    </xf>
    <xf numFmtId="0" fontId="125" fillId="5" borderId="8" xfId="0" applyFont="1" applyFill="1" applyBorder="1" applyAlignment="1">
      <alignment horizontal="left" vertical="center"/>
    </xf>
    <xf numFmtId="0" fontId="125" fillId="5" borderId="9" xfId="0" applyFont="1" applyFill="1" applyBorder="1" applyAlignment="1">
      <alignment horizontal="left" vertical="center"/>
    </xf>
    <xf numFmtId="0" fontId="125" fillId="0" borderId="7" xfId="24" applyFont="1" applyBorder="1" applyAlignment="1">
      <alignment horizontal="center" vertical="center" wrapText="1"/>
    </xf>
    <xf numFmtId="0" fontId="125" fillId="0" borderId="9" xfId="24" applyFont="1" applyBorder="1" applyAlignment="1">
      <alignment horizontal="center" vertical="center" wrapText="1"/>
    </xf>
    <xf numFmtId="168" fontId="136" fillId="5" borderId="7" xfId="0" applyNumberFormat="1" applyFont="1" applyFill="1" applyBorder="1" applyAlignment="1">
      <alignment horizontal="center"/>
    </xf>
    <xf numFmtId="168" fontId="136" fillId="5" borderId="9" xfId="0" applyNumberFormat="1" applyFont="1" applyFill="1" applyBorder="1" applyAlignment="1">
      <alignment horizontal="center"/>
    </xf>
    <xf numFmtId="0" fontId="152" fillId="0" borderId="7" xfId="0" applyFont="1" applyBorder="1" applyAlignment="1">
      <alignment horizontal="center" vertical="center" wrapText="1"/>
    </xf>
    <xf numFmtId="0" fontId="152" fillId="0" borderId="9" xfId="0" applyFont="1" applyBorder="1" applyAlignment="1">
      <alignment horizontal="center" vertical="center" wrapText="1"/>
    </xf>
    <xf numFmtId="168" fontId="48" fillId="5" borderId="7" xfId="0" applyNumberFormat="1" applyFont="1" applyFill="1" applyBorder="1" applyAlignment="1">
      <alignment horizontal="center"/>
    </xf>
    <xf numFmtId="168" fontId="48" fillId="5" borderId="9" xfId="0" applyNumberFormat="1" applyFont="1" applyFill="1" applyBorder="1" applyAlignment="1">
      <alignment horizontal="center"/>
    </xf>
    <xf numFmtId="0" fontId="125" fillId="0" borderId="2" xfId="0" applyFont="1" applyBorder="1" applyAlignment="1">
      <alignment horizontal="center" vertical="center" wrapText="1"/>
    </xf>
    <xf numFmtId="0" fontId="9" fillId="0" borderId="47" xfId="0" applyFont="1" applyBorder="1" applyAlignment="1">
      <alignment horizontal="right" vertical="center" wrapText="1"/>
    </xf>
    <xf numFmtId="0" fontId="9" fillId="0" borderId="13" xfId="0" applyFont="1" applyBorder="1" applyAlignment="1">
      <alignment horizontal="right" vertical="center" wrapText="1"/>
    </xf>
    <xf numFmtId="0" fontId="123" fillId="0" borderId="7" xfId="16" applyFont="1" applyBorder="1" applyAlignment="1">
      <alignment horizontal="center" vertical="center" wrapText="1"/>
    </xf>
    <xf numFmtId="0" fontId="123" fillId="0" borderId="9" xfId="16" applyFont="1" applyBorder="1" applyAlignment="1">
      <alignment horizontal="center" vertical="center" wrapText="1"/>
    </xf>
    <xf numFmtId="0" fontId="123" fillId="0" borderId="7" xfId="3" applyFont="1" applyBorder="1" applyAlignment="1">
      <alignment horizontal="center" vertical="center" wrapText="1"/>
    </xf>
    <xf numFmtId="0" fontId="123" fillId="0" borderId="9" xfId="3" applyFont="1" applyBorder="1" applyAlignment="1">
      <alignment horizontal="center" vertical="center" wrapText="1"/>
    </xf>
    <xf numFmtId="0" fontId="125" fillId="0" borderId="30" xfId="0" applyFont="1" applyBorder="1" applyAlignment="1">
      <alignment horizontal="left" vertical="center"/>
    </xf>
    <xf numFmtId="0" fontId="125" fillId="0" borderId="8" xfId="0" applyFont="1" applyBorder="1" applyAlignment="1">
      <alignment horizontal="left" vertical="center"/>
    </xf>
    <xf numFmtId="0" fontId="125" fillId="0" borderId="9" xfId="0" applyFont="1" applyBorder="1" applyAlignment="1">
      <alignment horizontal="left" vertical="center"/>
    </xf>
    <xf numFmtId="0" fontId="44" fillId="0" borderId="2" xfId="0" applyFont="1" applyBorder="1" applyAlignment="1">
      <alignment horizontal="right" vertical="center" indent="1"/>
    </xf>
    <xf numFmtId="0" fontId="15" fillId="0" borderId="12" xfId="0" applyFont="1" applyBorder="1" applyAlignment="1">
      <alignment horizontal="left" vertical="center" wrapText="1"/>
    </xf>
    <xf numFmtId="0" fontId="36" fillId="0" borderId="3" xfId="0" applyFont="1" applyBorder="1" applyAlignment="1">
      <alignment horizontal="center" vertical="center" wrapText="1"/>
    </xf>
    <xf numFmtId="0" fontId="36" fillId="0" borderId="5" xfId="0" applyFont="1" applyBorder="1" applyAlignment="1">
      <alignment horizontal="center" vertical="center" wrapText="1"/>
    </xf>
    <xf numFmtId="0" fontId="36" fillId="5" borderId="7" xfId="30" applyFont="1" applyFill="1" applyBorder="1" applyAlignment="1">
      <alignment horizontal="center" vertical="center"/>
    </xf>
    <xf numFmtId="0" fontId="36" fillId="5" borderId="8" xfId="30" applyFont="1" applyFill="1" applyBorder="1" applyAlignment="1">
      <alignment horizontal="center" vertical="center"/>
    </xf>
    <xf numFmtId="0" fontId="36" fillId="5" borderId="9" xfId="30" applyFont="1" applyFill="1" applyBorder="1" applyAlignment="1">
      <alignment horizontal="center" vertical="center"/>
    </xf>
    <xf numFmtId="0" fontId="15" fillId="5" borderId="0" xfId="30" applyFont="1" applyFill="1" applyAlignment="1">
      <alignment horizontal="left" vertical="center"/>
    </xf>
    <xf numFmtId="0" fontId="15" fillId="5" borderId="3" xfId="30" applyFont="1" applyFill="1" applyBorder="1" applyAlignment="1">
      <alignment horizontal="left" vertical="center"/>
    </xf>
    <xf numFmtId="0" fontId="15" fillId="5" borderId="6" xfId="30" applyFont="1" applyFill="1" applyBorder="1" applyAlignment="1">
      <alignment horizontal="left" vertical="center"/>
    </xf>
    <xf numFmtId="0" fontId="15" fillId="5" borderId="5" xfId="30" applyFont="1" applyFill="1" applyBorder="1" applyAlignment="1">
      <alignment horizontal="left" vertical="center"/>
    </xf>
    <xf numFmtId="0" fontId="15" fillId="5" borderId="7" xfId="30" applyFont="1" applyFill="1" applyBorder="1" applyAlignment="1">
      <alignment horizontal="center" vertical="center"/>
    </xf>
    <xf numFmtId="0" fontId="15" fillId="5" borderId="8" xfId="30" applyFont="1" applyFill="1" applyBorder="1" applyAlignment="1">
      <alignment horizontal="center" vertical="center"/>
    </xf>
    <xf numFmtId="0" fontId="15" fillId="5" borderId="9" xfId="30" applyFont="1" applyFill="1" applyBorder="1" applyAlignment="1">
      <alignment horizontal="center" vertical="center"/>
    </xf>
    <xf numFmtId="0" fontId="15" fillId="5" borderId="2" xfId="30" applyFont="1" applyFill="1" applyBorder="1" applyAlignment="1">
      <alignment horizontal="left" vertical="center"/>
    </xf>
    <xf numFmtId="0" fontId="63" fillId="5" borderId="1" xfId="25" quotePrefix="1" applyFont="1" applyFill="1" applyBorder="1" applyAlignment="1">
      <alignment horizontal="left" vertical="center" wrapText="1"/>
    </xf>
    <xf numFmtId="0" fontId="63" fillId="5" borderId="0" xfId="25" quotePrefix="1" applyFont="1" applyFill="1" applyAlignment="1">
      <alignment horizontal="left" vertical="center" wrapText="1"/>
    </xf>
    <xf numFmtId="0" fontId="63" fillId="5" borderId="15" xfId="25" quotePrefix="1" applyFont="1" applyFill="1" applyBorder="1" applyAlignment="1">
      <alignment horizontal="left" vertical="center" wrapText="1"/>
    </xf>
    <xf numFmtId="0" fontId="0" fillId="5" borderId="1" xfId="25" applyFont="1" applyFill="1" applyBorder="1" applyAlignment="1">
      <alignment horizontal="left" vertical="center" wrapText="1"/>
    </xf>
    <xf numFmtId="0" fontId="0" fillId="5" borderId="0" xfId="25" applyFont="1" applyFill="1" applyAlignment="1">
      <alignment horizontal="left" vertical="center" wrapText="1"/>
    </xf>
    <xf numFmtId="0" fontId="0" fillId="5" borderId="15" xfId="25" applyFont="1" applyFill="1" applyBorder="1" applyAlignment="1">
      <alignment horizontal="left" vertical="center" wrapText="1"/>
    </xf>
    <xf numFmtId="0" fontId="0" fillId="5" borderId="11" xfId="25" applyFont="1" applyFill="1" applyBorder="1" applyAlignment="1">
      <alignment horizontal="left" vertical="center" wrapText="1"/>
    </xf>
    <xf numFmtId="0" fontId="0" fillId="5" borderId="13" xfId="25" applyFont="1" applyFill="1" applyBorder="1" applyAlignment="1">
      <alignment horizontal="left" vertical="center" wrapText="1"/>
    </xf>
    <xf numFmtId="0" fontId="0" fillId="5" borderId="14" xfId="25" applyFont="1" applyFill="1" applyBorder="1" applyAlignment="1">
      <alignment horizontal="left" vertical="center" wrapText="1"/>
    </xf>
    <xf numFmtId="0" fontId="36" fillId="5" borderId="7" xfId="30" applyFont="1" applyFill="1" applyBorder="1" applyAlignment="1">
      <alignment horizontal="center" vertical="center" wrapText="1"/>
    </xf>
    <xf numFmtId="0" fontId="36" fillId="5" borderId="8" xfId="30" applyFont="1" applyFill="1" applyBorder="1" applyAlignment="1">
      <alignment horizontal="center" vertical="center" wrapText="1"/>
    </xf>
    <xf numFmtId="0" fontId="36" fillId="5" borderId="9" xfId="30" applyFont="1" applyFill="1" applyBorder="1" applyAlignment="1">
      <alignment horizontal="center" vertical="center" wrapText="1"/>
    </xf>
    <xf numFmtId="0" fontId="36" fillId="5" borderId="7" xfId="30" applyFont="1" applyFill="1" applyBorder="1" applyAlignment="1">
      <alignment horizontal="right" vertical="center" wrapText="1"/>
    </xf>
    <xf numFmtId="0" fontId="36" fillId="5" borderId="8" xfId="30" applyFont="1" applyFill="1" applyBorder="1" applyAlignment="1">
      <alignment horizontal="right" vertical="center" wrapText="1"/>
    </xf>
    <xf numFmtId="0" fontId="36" fillId="5" borderId="9" xfId="30" applyFont="1" applyFill="1" applyBorder="1" applyAlignment="1">
      <alignment horizontal="right" vertical="center" wrapText="1"/>
    </xf>
    <xf numFmtId="0" fontId="15" fillId="5" borderId="10" xfId="25" applyFont="1" applyFill="1" applyBorder="1" applyAlignment="1">
      <alignment horizontal="center" vertical="center"/>
    </xf>
    <xf numFmtId="0" fontId="15" fillId="5" borderId="12" xfId="25" applyFont="1" applyFill="1" applyBorder="1" applyAlignment="1">
      <alignment horizontal="center" vertical="center"/>
    </xf>
    <xf numFmtId="0" fontId="15" fillId="5" borderId="4" xfId="25" applyFont="1" applyFill="1" applyBorder="1" applyAlignment="1">
      <alignment horizontal="center" vertical="center"/>
    </xf>
    <xf numFmtId="0" fontId="36" fillId="5" borderId="2" xfId="25" applyFont="1" applyFill="1" applyBorder="1" applyAlignment="1">
      <alignment horizontal="center" vertical="center"/>
    </xf>
    <xf numFmtId="0" fontId="36" fillId="5" borderId="2" xfId="25" applyFont="1" applyFill="1" applyBorder="1" applyAlignment="1">
      <alignment horizontal="right" vertical="center"/>
    </xf>
    <xf numFmtId="0" fontId="36" fillId="5" borderId="7" xfId="25" applyFont="1" applyFill="1" applyBorder="1" applyAlignment="1">
      <alignment horizontal="left" vertical="center"/>
    </xf>
    <xf numFmtId="0" fontId="36" fillId="5" borderId="8" xfId="25" applyFont="1" applyFill="1" applyBorder="1" applyAlignment="1">
      <alignment horizontal="left" vertical="center"/>
    </xf>
    <xf numFmtId="0" fontId="36" fillId="5" borderId="9" xfId="25" applyFont="1" applyFill="1" applyBorder="1" applyAlignment="1">
      <alignment horizontal="left" vertical="center"/>
    </xf>
    <xf numFmtId="0" fontId="36" fillId="5" borderId="7" xfId="25" applyFont="1" applyFill="1" applyBorder="1" applyAlignment="1">
      <alignment horizontal="center" vertical="center" wrapText="1"/>
    </xf>
    <xf numFmtId="0" fontId="36" fillId="5" borderId="8" xfId="25" applyFont="1" applyFill="1" applyBorder="1" applyAlignment="1">
      <alignment horizontal="center" vertical="center" wrapText="1"/>
    </xf>
    <xf numFmtId="0" fontId="36" fillId="5" borderId="9" xfId="25" applyFont="1" applyFill="1" applyBorder="1" applyAlignment="1">
      <alignment horizontal="center" vertical="center" wrapText="1"/>
    </xf>
    <xf numFmtId="0" fontId="130" fillId="5" borderId="3" xfId="24" applyFont="1" applyFill="1" applyBorder="1" applyAlignment="1">
      <alignment vertical="center"/>
    </xf>
    <xf numFmtId="0" fontId="130" fillId="5" borderId="6" xfId="24" applyFont="1" applyFill="1" applyBorder="1" applyAlignment="1">
      <alignment vertical="center"/>
    </xf>
    <xf numFmtId="0" fontId="130" fillId="5" borderId="5" xfId="24" applyFont="1" applyFill="1" applyBorder="1" applyAlignment="1">
      <alignment vertical="center"/>
    </xf>
    <xf numFmtId="0" fontId="15" fillId="5" borderId="52" xfId="0" quotePrefix="1" applyFont="1" applyFill="1" applyBorder="1" applyAlignment="1">
      <alignment horizontal="left" vertical="top" wrapText="1"/>
    </xf>
    <xf numFmtId="0" fontId="15" fillId="5" borderId="53" xfId="0" quotePrefix="1" applyFont="1" applyFill="1" applyBorder="1" applyAlignment="1">
      <alignment horizontal="left" vertical="top" wrapText="1"/>
    </xf>
    <xf numFmtId="198" fontId="10" fillId="0" borderId="0" xfId="0" applyNumberFormat="1" applyFont="1" applyAlignment="1">
      <alignment horizontal="center"/>
    </xf>
    <xf numFmtId="0" fontId="34" fillId="5" borderId="2" xfId="24" applyFont="1" applyFill="1" applyBorder="1" applyAlignment="1">
      <alignment horizontal="center" vertical="center" wrapText="1"/>
    </xf>
    <xf numFmtId="0" fontId="34" fillId="5" borderId="33" xfId="24" applyFont="1" applyFill="1" applyBorder="1" applyAlignment="1">
      <alignment horizontal="center" vertical="center" wrapText="1"/>
    </xf>
    <xf numFmtId="0" fontId="34" fillId="5" borderId="3" xfId="24" applyFont="1" applyFill="1" applyBorder="1" applyAlignment="1">
      <alignment horizontal="center" vertical="center" textRotation="90" wrapText="1"/>
    </xf>
    <xf numFmtId="0" fontId="34" fillId="5" borderId="5" xfId="24" applyFont="1" applyFill="1" applyBorder="1" applyAlignment="1">
      <alignment horizontal="center" vertical="center" textRotation="90" wrapText="1"/>
    </xf>
    <xf numFmtId="0" fontId="34" fillId="5" borderId="7" xfId="24" applyFont="1" applyFill="1" applyBorder="1" applyAlignment="1">
      <alignment horizontal="center" vertical="top" wrapText="1"/>
    </xf>
    <xf numFmtId="0" fontId="34" fillId="5" borderId="9" xfId="24" applyFont="1" applyFill="1" applyBorder="1" applyAlignment="1">
      <alignment horizontal="center" vertical="top" wrapText="1"/>
    </xf>
    <xf numFmtId="0" fontId="34" fillId="5" borderId="2" xfId="24" applyFont="1" applyFill="1" applyBorder="1" applyAlignment="1">
      <alignment horizontal="center" vertical="center" textRotation="90" wrapText="1"/>
    </xf>
    <xf numFmtId="0" fontId="34" fillId="5" borderId="2" xfId="24" applyFont="1" applyFill="1" applyBorder="1" applyAlignment="1">
      <alignment horizontal="center" vertical="top" wrapText="1"/>
    </xf>
    <xf numFmtId="0" fontId="34" fillId="5" borderId="33" xfId="24" applyFont="1" applyFill="1" applyBorder="1" applyAlignment="1">
      <alignment horizontal="center" vertical="top" wrapText="1"/>
    </xf>
    <xf numFmtId="0" fontId="34" fillId="5" borderId="35" xfId="0" applyFont="1" applyFill="1" applyBorder="1" applyAlignment="1">
      <alignment horizontal="center" vertical="center" wrapText="1"/>
    </xf>
    <xf numFmtId="0" fontId="34" fillId="5" borderId="36" xfId="0" applyFont="1" applyFill="1" applyBorder="1" applyAlignment="1">
      <alignment horizontal="center" vertical="center" wrapText="1"/>
    </xf>
    <xf numFmtId="0" fontId="34" fillId="5" borderId="37" xfId="0" applyFont="1" applyFill="1" applyBorder="1" applyAlignment="1">
      <alignment horizontal="center" vertical="center" wrapText="1"/>
    </xf>
    <xf numFmtId="0" fontId="34" fillId="5" borderId="47" xfId="0" applyFont="1" applyFill="1" applyBorder="1" applyAlignment="1">
      <alignment horizontal="right" vertical="center" wrapText="1"/>
    </xf>
    <xf numFmtId="0" fontId="34" fillId="5" borderId="13" xfId="0" applyFont="1" applyFill="1" applyBorder="1" applyAlignment="1">
      <alignment horizontal="right" vertical="center" wrapText="1"/>
    </xf>
    <xf numFmtId="0" fontId="34" fillId="5" borderId="48" xfId="0" applyFont="1" applyFill="1" applyBorder="1" applyAlignment="1">
      <alignment horizontal="right" vertical="center" wrapText="1"/>
    </xf>
    <xf numFmtId="0" fontId="34" fillId="5" borderId="16" xfId="24" applyFont="1" applyFill="1" applyBorder="1" applyAlignment="1">
      <alignment horizontal="center" vertical="center" wrapText="1"/>
    </xf>
    <xf numFmtId="0" fontId="34" fillId="5" borderId="2" xfId="24" applyFont="1" applyFill="1" applyBorder="1" applyAlignment="1">
      <alignment horizontal="center" vertical="center" textRotation="90"/>
    </xf>
    <xf numFmtId="0" fontId="34" fillId="5" borderId="2" xfId="24" applyFont="1" applyFill="1" applyBorder="1" applyAlignment="1">
      <alignment horizontal="left" vertical="center" textRotation="90"/>
    </xf>
    <xf numFmtId="0" fontId="34" fillId="5" borderId="7" xfId="24" applyFont="1" applyFill="1" applyBorder="1" applyAlignment="1">
      <alignment horizontal="center" vertical="center"/>
    </xf>
    <xf numFmtId="0" fontId="34" fillId="5" borderId="8" xfId="24" applyFont="1" applyFill="1" applyBorder="1" applyAlignment="1">
      <alignment horizontal="center" vertical="center"/>
    </xf>
    <xf numFmtId="0" fontId="34" fillId="5" borderId="9" xfId="24" applyFont="1" applyFill="1" applyBorder="1" applyAlignment="1">
      <alignment horizontal="center" vertical="center"/>
    </xf>
    <xf numFmtId="0" fontId="34" fillId="5" borderId="2" xfId="24" applyFont="1" applyFill="1" applyBorder="1" applyAlignment="1">
      <alignment horizontal="center" vertical="center"/>
    </xf>
    <xf numFmtId="0" fontId="10" fillId="0" borderId="10" xfId="0" applyFont="1" applyBorder="1" applyAlignment="1">
      <alignment horizontal="left" vertical="top" wrapText="1"/>
    </xf>
    <xf numFmtId="0" fontId="10" fillId="0" borderId="12" xfId="0" applyFont="1" applyBorder="1" applyAlignment="1">
      <alignment horizontal="left" vertical="top" wrapText="1"/>
    </xf>
    <xf numFmtId="0" fontId="10" fillId="0" borderId="4" xfId="0" applyFont="1" applyBorder="1" applyAlignment="1">
      <alignment horizontal="left" vertical="top" wrapText="1"/>
    </xf>
    <xf numFmtId="0" fontId="10" fillId="0" borderId="11" xfId="0" applyFont="1" applyBorder="1" applyAlignment="1">
      <alignment horizontal="left" vertical="top" wrapText="1"/>
    </xf>
    <xf numFmtId="0" fontId="10" fillId="0" borderId="13" xfId="0" applyFont="1" applyBorder="1" applyAlignment="1">
      <alignment horizontal="left" vertical="top" wrapText="1"/>
    </xf>
    <xf numFmtId="0" fontId="10" fillId="0" borderId="14" xfId="0" applyFont="1" applyBorder="1" applyAlignment="1">
      <alignment horizontal="left" vertical="top" wrapText="1"/>
    </xf>
    <xf numFmtId="0" fontId="36" fillId="0" borderId="2" xfId="30" applyFont="1" applyBorder="1" applyAlignment="1">
      <alignment horizontal="center" vertical="center" wrapText="1"/>
    </xf>
    <xf numFmtId="0" fontId="9" fillId="0" borderId="47" xfId="30" applyFont="1" applyBorder="1" applyAlignment="1">
      <alignment horizontal="right" vertical="center" wrapText="1"/>
    </xf>
    <xf numFmtId="0" fontId="9" fillId="0" borderId="13" xfId="30" applyFont="1" applyBorder="1" applyAlignment="1">
      <alignment horizontal="right" vertical="center" wrapText="1"/>
    </xf>
    <xf numFmtId="0" fontId="9" fillId="0" borderId="48" xfId="30" applyFont="1" applyBorder="1" applyAlignment="1">
      <alignment horizontal="right" vertical="center" wrapText="1"/>
    </xf>
    <xf numFmtId="0" fontId="9" fillId="0" borderId="55" xfId="30" applyFont="1" applyBorder="1" applyAlignment="1">
      <alignment horizontal="center" vertical="center"/>
    </xf>
    <xf numFmtId="0" fontId="9" fillId="0" borderId="20" xfId="30" applyFont="1" applyBorder="1" applyAlignment="1">
      <alignment horizontal="center" vertical="center"/>
    </xf>
    <xf numFmtId="0" fontId="9" fillId="0" borderId="47" xfId="30" applyFont="1" applyBorder="1" applyAlignment="1">
      <alignment horizontal="center" vertical="center"/>
    </xf>
    <xf numFmtId="0" fontId="10" fillId="0" borderId="47" xfId="30" applyFont="1" applyBorder="1" applyAlignment="1">
      <alignment horizontal="center" vertical="center"/>
    </xf>
    <xf numFmtId="0" fontId="9" fillId="0" borderId="16" xfId="30" applyFont="1" applyBorder="1" applyAlignment="1">
      <alignment horizontal="center" vertical="center"/>
    </xf>
    <xf numFmtId="0" fontId="9" fillId="0" borderId="32" xfId="30" applyFont="1" applyBorder="1" applyAlignment="1">
      <alignment horizontal="center" vertical="center"/>
    </xf>
    <xf numFmtId="0" fontId="9" fillId="0" borderId="70" xfId="30" applyFont="1" applyBorder="1" applyAlignment="1">
      <alignment horizontal="center" vertical="center"/>
    </xf>
    <xf numFmtId="0" fontId="9" fillId="0" borderId="38" xfId="30" applyFont="1" applyBorder="1" applyAlignment="1">
      <alignment horizontal="center" vertical="center"/>
    </xf>
    <xf numFmtId="0" fontId="15" fillId="5" borderId="22" xfId="0" applyFont="1" applyFill="1" applyBorder="1" applyAlignment="1">
      <alignment horizontal="left" vertical="center" wrapText="1"/>
    </xf>
    <xf numFmtId="0" fontId="15" fillId="5" borderId="23" xfId="0" applyFont="1" applyFill="1" applyBorder="1" applyAlignment="1">
      <alignment horizontal="left" vertical="center" wrapText="1"/>
    </xf>
    <xf numFmtId="0" fontId="15" fillId="5" borderId="24" xfId="0" applyFont="1" applyFill="1" applyBorder="1" applyAlignment="1">
      <alignment horizontal="left" vertical="center" wrapText="1"/>
    </xf>
    <xf numFmtId="0" fontId="15" fillId="5" borderId="0" xfId="0" applyFont="1" applyFill="1" applyAlignment="1">
      <alignment horizontal="left" vertical="center" wrapText="1"/>
    </xf>
    <xf numFmtId="0" fontId="15" fillId="5" borderId="21" xfId="0" applyFont="1" applyFill="1" applyBorder="1" applyAlignment="1">
      <alignment horizontal="left" vertical="center" wrapText="1"/>
    </xf>
    <xf numFmtId="0" fontId="34" fillId="5" borderId="2" xfId="0" applyFont="1" applyFill="1" applyBorder="1" applyAlignment="1">
      <alignment horizontal="center" vertical="center" wrapText="1"/>
    </xf>
    <xf numFmtId="0" fontId="34" fillId="5" borderId="33" xfId="0" applyFont="1" applyFill="1" applyBorder="1" applyAlignment="1">
      <alignment horizontal="center" vertical="center" wrapText="1"/>
    </xf>
    <xf numFmtId="3" fontId="34" fillId="5" borderId="16" xfId="0" applyNumberFormat="1" applyFont="1" applyFill="1" applyBorder="1" applyAlignment="1">
      <alignment horizontal="center" vertical="center" textRotation="255" wrapText="1"/>
    </xf>
    <xf numFmtId="3" fontId="10" fillId="5" borderId="16" xfId="0" applyNumberFormat="1" applyFont="1" applyFill="1" applyBorder="1" applyAlignment="1">
      <alignment horizontal="center" vertical="center" textRotation="255" wrapText="1"/>
    </xf>
    <xf numFmtId="1" fontId="34" fillId="5" borderId="16" xfId="0" applyNumberFormat="1" applyFont="1" applyFill="1" applyBorder="1" applyAlignment="1">
      <alignment horizontal="left" vertical="center" wrapText="1"/>
    </xf>
    <xf numFmtId="1" fontId="34" fillId="5" borderId="2" xfId="0" applyNumberFormat="1" applyFont="1" applyFill="1" applyBorder="1" applyAlignment="1">
      <alignment horizontal="left" vertical="center" wrapText="1"/>
    </xf>
    <xf numFmtId="0" fontId="36" fillId="5" borderId="55" xfId="0" applyFont="1" applyFill="1" applyBorder="1" applyAlignment="1">
      <alignment horizontal="left" vertical="center" wrapText="1"/>
    </xf>
    <xf numFmtId="0" fontId="15" fillId="5" borderId="12" xfId="0" applyFont="1" applyFill="1" applyBorder="1" applyAlignment="1">
      <alignment horizontal="left" vertical="center" wrapText="1"/>
    </xf>
    <xf numFmtId="0" fontId="15" fillId="5" borderId="51" xfId="0" applyFont="1" applyFill="1" applyBorder="1" applyAlignment="1">
      <alignment horizontal="left" vertical="center" wrapText="1"/>
    </xf>
    <xf numFmtId="0" fontId="23" fillId="0" borderId="35" xfId="31" applyFont="1" applyBorder="1" applyAlignment="1">
      <alignment horizontal="center" vertical="center" wrapText="1"/>
    </xf>
    <xf numFmtId="0" fontId="23" fillId="0" borderId="36" xfId="31" applyFont="1" applyBorder="1" applyAlignment="1">
      <alignment horizontal="center" vertical="center" wrapText="1"/>
    </xf>
    <xf numFmtId="0" fontId="23" fillId="0" borderId="37" xfId="31" applyFont="1" applyBorder="1" applyAlignment="1">
      <alignment horizontal="center" vertical="center" wrapText="1"/>
    </xf>
    <xf numFmtId="0" fontId="58" fillId="0" borderId="55" xfId="0" applyFont="1" applyBorder="1" applyAlignment="1">
      <alignment horizontal="center"/>
    </xf>
    <xf numFmtId="0" fontId="58" fillId="0" borderId="12" xfId="0" applyFont="1" applyBorder="1" applyAlignment="1">
      <alignment horizontal="center"/>
    </xf>
    <xf numFmtId="0" fontId="58" fillId="0" borderId="51" xfId="0" applyFont="1" applyBorder="1" applyAlignment="1">
      <alignment horizontal="center"/>
    </xf>
    <xf numFmtId="0" fontId="58" fillId="0" borderId="47" xfId="0" applyFont="1" applyBorder="1" applyAlignment="1">
      <alignment horizontal="center"/>
    </xf>
    <xf numFmtId="0" fontId="58" fillId="0" borderId="13" xfId="0" applyFont="1" applyBorder="1" applyAlignment="1">
      <alignment horizontal="center"/>
    </xf>
    <xf numFmtId="0" fontId="58" fillId="0" borderId="48" xfId="0" applyFont="1" applyBorder="1" applyAlignment="1">
      <alignment horizontal="center"/>
    </xf>
    <xf numFmtId="0" fontId="34" fillId="5" borderId="16" xfId="0" applyFont="1" applyFill="1" applyBorder="1" applyAlignment="1">
      <alignment horizontal="center" vertical="center" wrapText="1"/>
    </xf>
    <xf numFmtId="0" fontId="9" fillId="0" borderId="2" xfId="31" applyFont="1" applyBorder="1" applyAlignment="1">
      <alignment horizontal="center" vertical="center" wrapText="1"/>
    </xf>
    <xf numFmtId="0" fontId="9" fillId="0" borderId="2" xfId="31" applyFont="1" applyBorder="1" applyAlignment="1">
      <alignment horizontal="left" vertical="center"/>
    </xf>
    <xf numFmtId="0" fontId="36" fillId="0" borderId="2" xfId="31" applyFont="1" applyBorder="1" applyAlignment="1">
      <alignment horizontal="left" vertical="center"/>
    </xf>
    <xf numFmtId="0" fontId="10" fillId="0" borderId="12" xfId="31" applyFont="1" applyBorder="1" applyAlignment="1">
      <alignment horizontal="left" vertical="top" wrapText="1"/>
    </xf>
    <xf numFmtId="2" fontId="129" fillId="5" borderId="3" xfId="0" applyNumberFormat="1" applyFont="1" applyFill="1" applyBorder="1" applyAlignment="1">
      <alignment horizontal="center" vertical="center" wrapText="1"/>
    </xf>
    <xf numFmtId="2" fontId="129" fillId="5" borderId="5" xfId="0" applyNumberFormat="1" applyFont="1" applyFill="1" applyBorder="1" applyAlignment="1">
      <alignment horizontal="center" vertical="center" wrapText="1"/>
    </xf>
    <xf numFmtId="169" fontId="129" fillId="5" borderId="3" xfId="1" applyNumberFormat="1" applyFont="1" applyFill="1" applyBorder="1" applyAlignment="1">
      <alignment horizontal="center" vertical="center"/>
    </xf>
    <xf numFmtId="169" fontId="129" fillId="5" borderId="5" xfId="1" applyNumberFormat="1" applyFont="1" applyFill="1" applyBorder="1" applyAlignment="1">
      <alignment horizontal="center" vertical="center"/>
    </xf>
    <xf numFmtId="0" fontId="56" fillId="0" borderId="7" xfId="0" applyFont="1" applyBorder="1" applyAlignment="1">
      <alignment horizontal="center" vertical="center"/>
    </xf>
    <xf numFmtId="0" fontId="56" fillId="0" borderId="9" xfId="0" applyFont="1" applyBorder="1" applyAlignment="1">
      <alignment horizontal="center" vertical="center"/>
    </xf>
    <xf numFmtId="0" fontId="129" fillId="5" borderId="32" xfId="0" applyFont="1" applyFill="1" applyBorder="1" applyAlignment="1">
      <alignment horizontal="center" vertical="center"/>
    </xf>
    <xf numFmtId="0" fontId="129" fillId="5" borderId="70" xfId="0" applyFont="1" applyFill="1" applyBorder="1" applyAlignment="1">
      <alignment horizontal="center" vertical="center"/>
    </xf>
    <xf numFmtId="0" fontId="129" fillId="5" borderId="38" xfId="0" applyFont="1" applyFill="1" applyBorder="1" applyAlignment="1">
      <alignment horizontal="center" vertical="center"/>
    </xf>
    <xf numFmtId="0" fontId="129" fillId="5" borderId="3" xfId="0" applyFont="1" applyFill="1" applyBorder="1" applyAlignment="1">
      <alignment horizontal="center" vertical="center"/>
    </xf>
    <xf numFmtId="0" fontId="129" fillId="5" borderId="5" xfId="0" applyFont="1" applyFill="1" applyBorder="1" applyAlignment="1">
      <alignment horizontal="center" vertical="center"/>
    </xf>
    <xf numFmtId="2" fontId="129" fillId="5" borderId="3" xfId="0" applyNumberFormat="1" applyFont="1" applyFill="1" applyBorder="1" applyAlignment="1">
      <alignment horizontal="center" vertical="center"/>
    </xf>
    <xf numFmtId="2" fontId="129" fillId="5" borderId="5" xfId="0" applyNumberFormat="1" applyFont="1" applyFill="1" applyBorder="1" applyAlignment="1">
      <alignment horizontal="center" vertical="center"/>
    </xf>
    <xf numFmtId="2" fontId="129" fillId="5" borderId="6" xfId="0" applyNumberFormat="1" applyFont="1" applyFill="1" applyBorder="1" applyAlignment="1">
      <alignment horizontal="center" vertical="center"/>
    </xf>
    <xf numFmtId="10" fontId="129" fillId="5" borderId="3" xfId="1" applyNumberFormat="1" applyFont="1" applyFill="1" applyBorder="1" applyAlignment="1">
      <alignment horizontal="center" vertical="center"/>
    </xf>
    <xf numFmtId="10" fontId="129" fillId="5" borderId="6" xfId="1" applyNumberFormat="1" applyFont="1" applyFill="1" applyBorder="1" applyAlignment="1">
      <alignment horizontal="center" vertical="center"/>
    </xf>
    <xf numFmtId="10" fontId="129" fillId="5" borderId="5" xfId="1" applyNumberFormat="1" applyFont="1" applyFill="1" applyBorder="1" applyAlignment="1">
      <alignment horizontal="center" vertical="center"/>
    </xf>
    <xf numFmtId="0" fontId="56" fillId="0" borderId="3" xfId="0" applyFont="1" applyBorder="1" applyAlignment="1">
      <alignment horizontal="center" vertical="center"/>
    </xf>
    <xf numFmtId="0" fontId="56" fillId="0" borderId="6" xfId="0" applyFont="1" applyBorder="1" applyAlignment="1">
      <alignment horizontal="center" vertical="center"/>
    </xf>
    <xf numFmtId="0" fontId="56" fillId="0" borderId="5" xfId="0" applyFont="1" applyBorder="1" applyAlignment="1">
      <alignment horizontal="center" vertical="center"/>
    </xf>
    <xf numFmtId="168" fontId="56" fillId="0" borderId="34" xfId="0" applyNumberFormat="1" applyFont="1" applyBorder="1" applyAlignment="1">
      <alignment horizontal="center" vertical="center"/>
    </xf>
    <xf numFmtId="168" fontId="56" fillId="0" borderId="69" xfId="0" applyNumberFormat="1" applyFont="1" applyBorder="1" applyAlignment="1">
      <alignment horizontal="center" vertical="center"/>
    </xf>
    <xf numFmtId="168" fontId="56" fillId="0" borderId="56" xfId="0" applyNumberFormat="1" applyFont="1" applyBorder="1" applyAlignment="1">
      <alignment horizontal="center" vertical="center"/>
    </xf>
    <xf numFmtId="0" fontId="36" fillId="5" borderId="17" xfId="0" applyFont="1" applyFill="1" applyBorder="1" applyAlignment="1">
      <alignment horizontal="center" vertical="center" readingOrder="1"/>
    </xf>
    <xf numFmtId="0" fontId="36" fillId="5" borderId="18" xfId="0" applyFont="1" applyFill="1" applyBorder="1" applyAlignment="1">
      <alignment horizontal="center" vertical="center" readingOrder="1"/>
    </xf>
    <xf numFmtId="0" fontId="36" fillId="5" borderId="19" xfId="0" applyFont="1" applyFill="1" applyBorder="1" applyAlignment="1">
      <alignment horizontal="center" vertical="center" readingOrder="1"/>
    </xf>
    <xf numFmtId="0" fontId="71" fillId="5" borderId="2" xfId="0" applyFont="1" applyFill="1" applyBorder="1" applyAlignment="1">
      <alignment horizontal="center" vertical="center" wrapText="1"/>
    </xf>
    <xf numFmtId="0" fontId="36" fillId="0" borderId="20" xfId="0" applyFont="1" applyBorder="1" applyAlignment="1">
      <alignment horizontal="left" vertical="center" wrapText="1"/>
    </xf>
    <xf numFmtId="0" fontId="36" fillId="0" borderId="0" xfId="0" applyFont="1" applyAlignment="1">
      <alignment horizontal="left" vertical="center" wrapText="1"/>
    </xf>
    <xf numFmtId="0" fontId="36" fillId="0" borderId="20" xfId="34" applyFont="1" applyBorder="1" applyAlignment="1">
      <alignment horizontal="left" vertical="center" wrapText="1"/>
    </xf>
    <xf numFmtId="0" fontId="36" fillId="0" borderId="0" xfId="34" applyFont="1" applyAlignment="1">
      <alignment horizontal="left" vertical="center" wrapText="1"/>
    </xf>
    <xf numFmtId="0" fontId="15" fillId="0" borderId="20" xfId="0" applyFont="1" applyBorder="1" applyAlignment="1">
      <alignment horizontal="left" vertical="center" wrapText="1"/>
    </xf>
    <xf numFmtId="0" fontId="15" fillId="0" borderId="0" xfId="0" applyFont="1" applyAlignment="1">
      <alignment horizontal="left" vertical="center" wrapText="1"/>
    </xf>
    <xf numFmtId="0" fontId="15" fillId="0" borderId="21" xfId="0" applyFont="1" applyBorder="1" applyAlignment="1">
      <alignment horizontal="left" vertical="center" wrapText="1"/>
    </xf>
    <xf numFmtId="0" fontId="15" fillId="0" borderId="20" xfId="0" applyFont="1" applyBorder="1" applyAlignment="1">
      <alignment horizontal="left" wrapText="1"/>
    </xf>
    <xf numFmtId="0" fontId="15" fillId="0" borderId="0" xfId="0" applyFont="1" applyAlignment="1">
      <alignment horizontal="left" wrapText="1"/>
    </xf>
    <xf numFmtId="0" fontId="15" fillId="0" borderId="21" xfId="0" applyFont="1" applyBorder="1" applyAlignment="1">
      <alignment horizontal="left" wrapText="1"/>
    </xf>
    <xf numFmtId="0" fontId="15" fillId="0" borderId="22" xfId="0" applyFont="1" applyBorder="1" applyAlignment="1">
      <alignment horizontal="left" wrapText="1"/>
    </xf>
    <xf numFmtId="0" fontId="15" fillId="0" borderId="23" xfId="0" applyFont="1" applyBorder="1" applyAlignment="1">
      <alignment horizontal="left" wrapText="1"/>
    </xf>
    <xf numFmtId="0" fontId="15" fillId="0" borderId="24" xfId="0" applyFont="1" applyBorder="1" applyAlignment="1">
      <alignment horizontal="left" wrapText="1"/>
    </xf>
    <xf numFmtId="0" fontId="6" fillId="0" borderId="2" xfId="31" applyFont="1" applyBorder="1" applyAlignment="1">
      <alignment horizontal="center" vertical="center" wrapText="1"/>
    </xf>
    <xf numFmtId="0" fontId="187" fillId="0" borderId="20" xfId="34" quotePrefix="1" applyFont="1" applyBorder="1" applyAlignment="1">
      <alignment horizontal="left" vertical="center" wrapText="1"/>
    </xf>
    <xf numFmtId="0" fontId="187" fillId="0" borderId="0" xfId="34" quotePrefix="1" applyFont="1" applyAlignment="1">
      <alignment horizontal="left" vertical="center" wrapText="1"/>
    </xf>
    <xf numFmtId="0" fontId="187" fillId="0" borderId="21" xfId="34" quotePrefix="1" applyFont="1" applyBorder="1" applyAlignment="1">
      <alignment horizontal="left" vertical="center" wrapText="1"/>
    </xf>
    <xf numFmtId="0" fontId="193" fillId="0" borderId="20" xfId="34" applyFont="1" applyBorder="1" applyAlignment="1">
      <alignment horizontal="left" vertical="center" wrapText="1"/>
    </xf>
    <xf numFmtId="0" fontId="193" fillId="0" borderId="0" xfId="34" applyFont="1" applyAlignment="1">
      <alignment horizontal="left" vertical="center" wrapText="1"/>
    </xf>
    <xf numFmtId="0" fontId="187" fillId="0" borderId="22" xfId="34" quotePrefix="1" applyFont="1" applyBorder="1" applyAlignment="1">
      <alignment horizontal="left" vertical="center" wrapText="1"/>
    </xf>
    <xf numFmtId="0" fontId="187" fillId="0" borderId="23" xfId="34" quotePrefix="1" applyFont="1" applyBorder="1" applyAlignment="1">
      <alignment horizontal="left" vertical="center" wrapText="1"/>
    </xf>
    <xf numFmtId="0" fontId="187" fillId="0" borderId="24" xfId="34" quotePrefix="1" applyFont="1" applyBorder="1" applyAlignment="1">
      <alignment horizontal="left" vertical="center" wrapText="1"/>
    </xf>
    <xf numFmtId="0" fontId="68" fillId="0" borderId="0" xfId="34" quotePrefix="1" applyFont="1" applyAlignment="1">
      <alignment horizontal="left" vertical="center" wrapText="1"/>
    </xf>
    <xf numFmtId="0" fontId="56" fillId="5" borderId="2" xfId="34" applyFont="1" applyFill="1" applyBorder="1" applyAlignment="1">
      <alignment horizontal="center" vertical="center" wrapText="1"/>
    </xf>
    <xf numFmtId="1" fontId="56" fillId="5" borderId="2" xfId="34" applyNumberFormat="1" applyFont="1" applyFill="1" applyBorder="1" applyAlignment="1">
      <alignment horizontal="center" vertical="center" wrapText="1"/>
    </xf>
    <xf numFmtId="0" fontId="56" fillId="0" borderId="2" xfId="34" applyFont="1" applyBorder="1" applyAlignment="1">
      <alignment horizontal="center" vertical="center" wrapText="1"/>
    </xf>
    <xf numFmtId="0" fontId="186" fillId="0" borderId="20" xfId="34" applyFont="1" applyBorder="1" applyAlignment="1">
      <alignment horizontal="left" vertical="center" wrapText="1"/>
    </xf>
    <xf numFmtId="0" fontId="186" fillId="0" borderId="0" xfId="34" applyFont="1" applyAlignment="1">
      <alignment horizontal="left" vertical="center" wrapText="1"/>
    </xf>
    <xf numFmtId="0" fontId="194" fillId="0" borderId="20" xfId="34" applyFont="1" applyBorder="1" applyAlignment="1">
      <alignment horizontal="left" vertical="center" wrapText="1"/>
    </xf>
    <xf numFmtId="0" fontId="194" fillId="0" borderId="0" xfId="34" applyFont="1" applyAlignment="1">
      <alignment horizontal="left" vertical="center" wrapText="1"/>
    </xf>
    <xf numFmtId="0" fontId="186" fillId="0" borderId="20" xfId="0" applyFont="1" applyBorder="1" applyAlignment="1">
      <alignment horizontal="left" vertical="center" wrapText="1"/>
    </xf>
    <xf numFmtId="0" fontId="186" fillId="0" borderId="0" xfId="0" applyFont="1" applyAlignment="1">
      <alignment horizontal="left" vertical="center" wrapText="1"/>
    </xf>
    <xf numFmtId="0" fontId="186" fillId="0" borderId="21" xfId="0" applyFont="1" applyBorder="1" applyAlignment="1">
      <alignment horizontal="left" vertical="center" wrapText="1"/>
    </xf>
    <xf numFmtId="185" fontId="58" fillId="0" borderId="3" xfId="34" applyNumberFormat="1" applyFont="1" applyBorder="1" applyAlignment="1">
      <alignment horizontal="center" vertical="center" wrapText="1"/>
    </xf>
    <xf numFmtId="185" fontId="58" fillId="0" borderId="5" xfId="34" applyNumberFormat="1" applyFont="1" applyBorder="1" applyAlignment="1">
      <alignment horizontal="center" vertical="center" wrapText="1"/>
    </xf>
    <xf numFmtId="0" fontId="56" fillId="5" borderId="3" xfId="34" applyFont="1" applyFill="1" applyBorder="1" applyAlignment="1">
      <alignment horizontal="center" vertical="center" wrapText="1"/>
    </xf>
    <xf numFmtId="0" fontId="56" fillId="5" borderId="6" xfId="34" applyFont="1" applyFill="1" applyBorder="1" applyAlignment="1">
      <alignment horizontal="center" vertical="center" wrapText="1"/>
    </xf>
    <xf numFmtId="0" fontId="56" fillId="5" borderId="5" xfId="34" applyFont="1" applyFill="1" applyBorder="1" applyAlignment="1">
      <alignment horizontal="center" vertical="center" wrapText="1"/>
    </xf>
    <xf numFmtId="0" fontId="56" fillId="5" borderId="2" xfId="34" applyFont="1" applyFill="1" applyBorder="1" applyAlignment="1">
      <alignment horizontal="left" vertical="center" wrapText="1"/>
    </xf>
    <xf numFmtId="0" fontId="145" fillId="0" borderId="35" xfId="31" applyFont="1" applyBorder="1" applyAlignment="1">
      <alignment horizontal="center" vertical="center" wrapText="1"/>
    </xf>
    <xf numFmtId="0" fontId="145" fillId="0" borderId="36" xfId="31" applyFont="1" applyBorder="1" applyAlignment="1">
      <alignment horizontal="center" vertical="center" wrapText="1"/>
    </xf>
    <xf numFmtId="0" fontId="145" fillId="0" borderId="37" xfId="31" applyFont="1" applyBorder="1" applyAlignment="1">
      <alignment horizontal="center" vertical="center" wrapText="1"/>
    </xf>
    <xf numFmtId="0" fontId="145" fillId="0" borderId="2" xfId="31" applyFont="1" applyBorder="1" applyAlignment="1">
      <alignment horizontal="left" vertical="center" wrapText="1"/>
    </xf>
    <xf numFmtId="0" fontId="145" fillId="0" borderId="2" xfId="31" applyFont="1" applyBorder="1" applyAlignment="1">
      <alignment horizontal="center" vertical="center" wrapText="1"/>
    </xf>
    <xf numFmtId="0" fontId="33" fillId="0" borderId="2" xfId="34" quotePrefix="1" applyFont="1" applyBorder="1" applyAlignment="1">
      <alignment horizontal="left" vertical="center" wrapText="1"/>
    </xf>
    <xf numFmtId="0" fontId="76" fillId="0" borderId="2" xfId="0" applyFont="1" applyBorder="1" applyAlignment="1">
      <alignment horizontal="center" vertical="center" wrapText="1"/>
    </xf>
    <xf numFmtId="0" fontId="76" fillId="0" borderId="2" xfId="0" applyFont="1" applyBorder="1" applyAlignment="1">
      <alignment horizontal="center"/>
    </xf>
    <xf numFmtId="0" fontId="75" fillId="0" borderId="0" xfId="0" applyFont="1" applyAlignment="1">
      <alignment horizontal="center"/>
    </xf>
    <xf numFmtId="0" fontId="75" fillId="0" borderId="13" xfId="0" applyFont="1" applyBorder="1" applyAlignment="1">
      <alignment horizontal="center"/>
    </xf>
    <xf numFmtId="0" fontId="71" fillId="0" borderId="55" xfId="35" applyFont="1" applyBorder="1" applyAlignment="1">
      <alignment horizontal="left" vertical="center" wrapText="1"/>
    </xf>
    <xf numFmtId="0" fontId="71" fillId="0" borderId="12" xfId="35" applyFont="1" applyBorder="1" applyAlignment="1">
      <alignment horizontal="left" vertical="center" wrapText="1"/>
    </xf>
    <xf numFmtId="0" fontId="71" fillId="0" borderId="51" xfId="35" applyFont="1" applyBorder="1" applyAlignment="1">
      <alignment horizontal="left" vertical="center" wrapText="1"/>
    </xf>
    <xf numFmtId="0" fontId="15" fillId="0" borderId="20" xfId="35" applyFont="1" applyBorder="1" applyAlignment="1">
      <alignment horizontal="left" vertical="top" wrapText="1"/>
    </xf>
    <xf numFmtId="0" fontId="15" fillId="0" borderId="0" xfId="35" applyFont="1" applyAlignment="1">
      <alignment horizontal="left" vertical="top" wrapText="1"/>
    </xf>
    <xf numFmtId="0" fontId="15" fillId="0" borderId="21" xfId="35" applyFont="1" applyBorder="1" applyAlignment="1">
      <alignment horizontal="left" vertical="top" wrapText="1"/>
    </xf>
    <xf numFmtId="0" fontId="84" fillId="0" borderId="20" xfId="35" applyFont="1" applyBorder="1" applyAlignment="1">
      <alignment horizontal="center" vertical="top" wrapText="1"/>
    </xf>
    <xf numFmtId="0" fontId="84" fillId="0" borderId="0" xfId="35" applyFont="1" applyAlignment="1">
      <alignment horizontal="center" vertical="top" wrapText="1"/>
    </xf>
    <xf numFmtId="0" fontId="58" fillId="5" borderId="20" xfId="35" applyFont="1" applyFill="1" applyBorder="1" applyAlignment="1">
      <alignment horizontal="left" vertical="top" wrapText="1"/>
    </xf>
    <xf numFmtId="0" fontId="58" fillId="5" borderId="0" xfId="35" applyFont="1" applyFill="1" applyAlignment="1">
      <alignment horizontal="left" vertical="top" wrapText="1"/>
    </xf>
    <xf numFmtId="0" fontId="58" fillId="5" borderId="21" xfId="35" applyFont="1" applyFill="1" applyBorder="1" applyAlignment="1">
      <alignment horizontal="left" vertical="top" wrapText="1"/>
    </xf>
    <xf numFmtId="0" fontId="58" fillId="5" borderId="22" xfId="35" applyFont="1" applyFill="1" applyBorder="1" applyAlignment="1">
      <alignment horizontal="left" vertical="top" wrapText="1"/>
    </xf>
    <xf numFmtId="0" fontId="58" fillId="5" borderId="23" xfId="35" applyFont="1" applyFill="1" applyBorder="1" applyAlignment="1">
      <alignment horizontal="left" vertical="top" wrapText="1"/>
    </xf>
    <xf numFmtId="0" fontId="58" fillId="5" borderId="24" xfId="35" applyFont="1" applyFill="1" applyBorder="1" applyAlignment="1">
      <alignment horizontal="left" vertical="top" wrapText="1"/>
    </xf>
    <xf numFmtId="0" fontId="48" fillId="0" borderId="17" xfId="35" applyFont="1" applyBorder="1" applyAlignment="1">
      <alignment horizontal="center" vertical="center" wrapText="1"/>
    </xf>
    <xf numFmtId="0" fontId="48" fillId="0" borderId="18" xfId="35" applyFont="1" applyBorder="1" applyAlignment="1">
      <alignment horizontal="center" vertical="center" wrapText="1"/>
    </xf>
    <xf numFmtId="0" fontId="48" fillId="0" borderId="19" xfId="35" applyFont="1" applyBorder="1" applyAlignment="1">
      <alignment horizontal="center" vertical="center" wrapText="1"/>
    </xf>
    <xf numFmtId="0" fontId="44" fillId="0" borderId="47" xfId="35" applyFont="1" applyBorder="1" applyAlignment="1">
      <alignment horizontal="right" vertical="center" wrapText="1"/>
    </xf>
    <xf numFmtId="0" fontId="44" fillId="0" borderId="13" xfId="35" applyFont="1" applyBorder="1" applyAlignment="1">
      <alignment horizontal="right" vertical="center" wrapText="1"/>
    </xf>
    <xf numFmtId="0" fontId="44" fillId="0" borderId="48" xfId="35" applyFont="1" applyBorder="1" applyAlignment="1">
      <alignment horizontal="right" vertical="center" wrapText="1"/>
    </xf>
    <xf numFmtId="0" fontId="76" fillId="0" borderId="8" xfId="35" applyFont="1" applyBorder="1" applyAlignment="1">
      <alignment horizontal="left" vertical="center" wrapText="1"/>
    </xf>
    <xf numFmtId="0" fontId="76" fillId="0" borderId="9" xfId="35" applyFont="1" applyBorder="1" applyAlignment="1">
      <alignment horizontal="left" vertical="center" wrapText="1"/>
    </xf>
    <xf numFmtId="0" fontId="76" fillId="0" borderId="2" xfId="35" applyFont="1" applyBorder="1" applyAlignment="1">
      <alignment vertical="center" wrapText="1"/>
    </xf>
    <xf numFmtId="0" fontId="101" fillId="0" borderId="20" xfId="35" applyFont="1" applyBorder="1" applyAlignment="1">
      <alignment horizontal="left" vertical="center" wrapText="1"/>
    </xf>
    <xf numFmtId="0" fontId="101" fillId="0" borderId="0" xfId="35" applyFont="1" applyAlignment="1">
      <alignment horizontal="left" vertical="center" wrapText="1"/>
    </xf>
    <xf numFmtId="0" fontId="75" fillId="0" borderId="8" xfId="35" applyFont="1" applyBorder="1" applyAlignment="1">
      <alignment horizontal="left" vertical="center" wrapText="1"/>
    </xf>
    <xf numFmtId="0" fontId="75" fillId="0" borderId="9" xfId="35" applyFont="1" applyBorder="1" applyAlignment="1">
      <alignment horizontal="left" vertical="center" wrapText="1"/>
    </xf>
    <xf numFmtId="0" fontId="97" fillId="5" borderId="1" xfId="0" applyFont="1" applyFill="1" applyBorder="1" applyAlignment="1">
      <alignment horizontal="center"/>
    </xf>
    <xf numFmtId="0" fontId="97" fillId="5" borderId="0" xfId="0" applyFont="1" applyFill="1" applyAlignment="1">
      <alignment horizontal="center"/>
    </xf>
    <xf numFmtId="0" fontId="76" fillId="0" borderId="2" xfId="35" applyFont="1" applyBorder="1" applyAlignment="1">
      <alignment horizontal="center" vertical="center" wrapText="1"/>
    </xf>
    <xf numFmtId="0" fontId="36" fillId="0" borderId="17" xfId="35" applyFont="1" applyBorder="1" applyAlignment="1">
      <alignment horizontal="center" vertical="center" wrapText="1"/>
    </xf>
    <xf numFmtId="0" fontId="36" fillId="0" borderId="18" xfId="35" applyFont="1" applyBorder="1" applyAlignment="1">
      <alignment horizontal="center" vertical="center" wrapText="1"/>
    </xf>
    <xf numFmtId="0" fontId="36" fillId="0" borderId="19" xfId="35" applyFont="1" applyBorder="1" applyAlignment="1">
      <alignment horizontal="center" vertical="center" wrapText="1"/>
    </xf>
    <xf numFmtId="0" fontId="83" fillId="5" borderId="1" xfId="35" applyFont="1" applyFill="1" applyBorder="1" applyAlignment="1">
      <alignment horizontal="center" vertical="center" wrapText="1"/>
    </xf>
    <xf numFmtId="0" fontId="83" fillId="5" borderId="0" xfId="35" applyFont="1" applyFill="1" applyAlignment="1">
      <alignment horizontal="center" vertical="center" wrapText="1"/>
    </xf>
    <xf numFmtId="0" fontId="9" fillId="0" borderId="27" xfId="35" applyFont="1" applyBorder="1" applyAlignment="1">
      <alignment horizontal="right" vertical="center"/>
    </xf>
    <xf numFmtId="0" fontId="9" fillId="0" borderId="28" xfId="35" applyFont="1" applyBorder="1" applyAlignment="1">
      <alignment horizontal="right" vertical="center"/>
    </xf>
    <xf numFmtId="0" fontId="9" fillId="0" borderId="29" xfId="35" applyFont="1" applyBorder="1" applyAlignment="1">
      <alignment horizontal="right" vertical="center"/>
    </xf>
    <xf numFmtId="0" fontId="83" fillId="5" borderId="13" xfId="35" applyFont="1" applyFill="1" applyBorder="1" applyAlignment="1">
      <alignment horizontal="right" vertical="center" wrapText="1"/>
    </xf>
    <xf numFmtId="0" fontId="83" fillId="5" borderId="0" xfId="35" applyFont="1" applyFill="1" applyAlignment="1">
      <alignment horizontal="right" vertical="center" wrapText="1"/>
    </xf>
    <xf numFmtId="0" fontId="78" fillId="0" borderId="20" xfId="35" applyFont="1" applyBorder="1" applyAlignment="1">
      <alignment horizontal="center" vertical="center" wrapText="1"/>
    </xf>
    <xf numFmtId="0" fontId="78" fillId="0" borderId="0" xfId="35" applyFont="1" applyAlignment="1">
      <alignment horizontal="center" vertical="center" wrapText="1"/>
    </xf>
    <xf numFmtId="0" fontId="83" fillId="5" borderId="9" xfId="35" applyFont="1" applyFill="1" applyBorder="1" applyAlignment="1">
      <alignment horizontal="center" vertical="center" wrapText="1"/>
    </xf>
    <xf numFmtId="0" fontId="83" fillId="5" borderId="2" xfId="35" applyFont="1" applyFill="1" applyBorder="1" applyAlignment="1">
      <alignment horizontal="center" vertical="center" wrapText="1"/>
    </xf>
    <xf numFmtId="0" fontId="97" fillId="5" borderId="13" xfId="0" applyFont="1" applyFill="1" applyBorder="1" applyAlignment="1">
      <alignment horizontal="center"/>
    </xf>
    <xf numFmtId="0" fontId="84" fillId="0" borderId="20" xfId="35" applyFont="1" applyBorder="1" applyAlignment="1">
      <alignment horizontal="center" vertical="center" wrapText="1"/>
    </xf>
    <xf numFmtId="0" fontId="84" fillId="0" borderId="0" xfId="35" applyFont="1" applyAlignment="1">
      <alignment horizontal="center" vertical="center" wrapText="1"/>
    </xf>
    <xf numFmtId="0" fontId="34" fillId="0" borderId="18" xfId="0" applyFont="1" applyBorder="1" applyAlignment="1">
      <alignment horizontal="center"/>
    </xf>
    <xf numFmtId="0" fontId="56" fillId="0" borderId="23" xfId="35" applyFont="1" applyBorder="1" applyAlignment="1">
      <alignment horizontal="center" vertical="center" wrapText="1"/>
    </xf>
    <xf numFmtId="0" fontId="75" fillId="0" borderId="17" xfId="0" applyFont="1" applyBorder="1" applyAlignment="1">
      <alignment horizontal="center"/>
    </xf>
    <xf numFmtId="0" fontId="75" fillId="0" borderId="18" xfId="0" applyFont="1" applyBorder="1" applyAlignment="1">
      <alignment horizontal="center"/>
    </xf>
    <xf numFmtId="0" fontId="75" fillId="0" borderId="19" xfId="0" applyFont="1" applyBorder="1" applyAlignment="1">
      <alignment horizontal="center"/>
    </xf>
    <xf numFmtId="0" fontId="75" fillId="0" borderId="20" xfId="0" applyFont="1" applyBorder="1" applyAlignment="1">
      <alignment horizontal="center"/>
    </xf>
    <xf numFmtId="0" fontId="75" fillId="0" borderId="21" xfId="0" applyFont="1" applyBorder="1" applyAlignment="1">
      <alignment horizontal="center"/>
    </xf>
    <xf numFmtId="0" fontId="75" fillId="0" borderId="22" xfId="0" applyFont="1" applyBorder="1" applyAlignment="1">
      <alignment horizontal="center"/>
    </xf>
    <xf numFmtId="0" fontId="75" fillId="0" borderId="23" xfId="0" applyFont="1" applyBorder="1" applyAlignment="1">
      <alignment horizontal="center"/>
    </xf>
    <xf numFmtId="0" fontId="75" fillId="0" borderId="24" xfId="0" applyFont="1" applyBorder="1" applyAlignment="1">
      <alignment horizontal="center"/>
    </xf>
    <xf numFmtId="0" fontId="56" fillId="0" borderId="0" xfId="35" applyFont="1" applyAlignment="1">
      <alignment horizontal="center" vertical="center" wrapText="1"/>
    </xf>
    <xf numFmtId="0" fontId="75" fillId="0" borderId="21" xfId="0" applyFont="1" applyBorder="1" applyAlignment="1">
      <alignment horizontal="center" vertical="center" wrapText="1"/>
    </xf>
    <xf numFmtId="0" fontId="75" fillId="0" borderId="21" xfId="0" applyFont="1" applyBorder="1" applyAlignment="1">
      <alignment horizontal="center" wrapText="1"/>
    </xf>
    <xf numFmtId="0" fontId="94" fillId="0" borderId="7" xfId="35" applyFont="1" applyBorder="1" applyAlignment="1">
      <alignment horizontal="left" vertical="center" wrapText="1"/>
    </xf>
    <xf numFmtId="0" fontId="94" fillId="0" borderId="8" xfId="35" applyFont="1" applyBorder="1" applyAlignment="1">
      <alignment horizontal="left" vertical="center" wrapText="1"/>
    </xf>
    <xf numFmtId="0" fontId="94" fillId="0" borderId="9" xfId="35" applyFont="1" applyBorder="1" applyAlignment="1">
      <alignment horizontal="left" vertical="center" wrapText="1"/>
    </xf>
    <xf numFmtId="0" fontId="95" fillId="0" borderId="7" xfId="35" applyFont="1" applyBorder="1" applyAlignment="1">
      <alignment horizontal="left" vertical="center" wrapText="1"/>
    </xf>
    <xf numFmtId="0" fontId="95" fillId="0" borderId="8" xfId="35" applyFont="1" applyBorder="1" applyAlignment="1">
      <alignment horizontal="left" vertical="center" wrapText="1"/>
    </xf>
    <xf numFmtId="0" fontId="95" fillId="0" borderId="9" xfId="35" applyFont="1" applyBorder="1" applyAlignment="1">
      <alignment horizontal="left" vertical="center" wrapText="1"/>
    </xf>
    <xf numFmtId="0" fontId="95" fillId="0" borderId="2" xfId="35" applyFont="1" applyBorder="1" applyAlignment="1">
      <alignment vertical="center" wrapText="1"/>
    </xf>
    <xf numFmtId="0" fontId="102" fillId="0" borderId="0" xfId="35" applyFont="1" applyAlignment="1">
      <alignment horizontal="left" vertical="center" wrapText="1"/>
    </xf>
    <xf numFmtId="0" fontId="56" fillId="0" borderId="2" xfId="35" applyFont="1" applyBorder="1" applyAlignment="1">
      <alignment horizontal="center" vertical="center" wrapText="1"/>
    </xf>
    <xf numFmtId="0" fontId="97" fillId="0" borderId="1" xfId="0" applyFont="1" applyBorder="1" applyAlignment="1">
      <alignment horizontal="center"/>
    </xf>
    <xf numFmtId="0" fontId="97" fillId="0" borderId="0" xfId="0" applyFont="1" applyAlignment="1">
      <alignment horizontal="center"/>
    </xf>
    <xf numFmtId="0" fontId="95" fillId="0" borderId="2" xfId="35" applyFont="1" applyBorder="1" applyAlignment="1">
      <alignment horizontal="center" vertical="center" wrapText="1"/>
    </xf>
    <xf numFmtId="0" fontId="49" fillId="0" borderId="0" xfId="35" applyFont="1" applyAlignment="1">
      <alignment horizontal="center" vertical="center" wrapText="1"/>
    </xf>
    <xf numFmtId="0" fontId="83" fillId="0" borderId="2" xfId="35" applyFont="1" applyBorder="1" applyAlignment="1">
      <alignment horizontal="center" vertical="center" wrapText="1"/>
    </xf>
    <xf numFmtId="0" fontId="97" fillId="0" borderId="13" xfId="0" applyFont="1" applyBorder="1" applyAlignment="1">
      <alignment horizontal="center"/>
    </xf>
    <xf numFmtId="0" fontId="83" fillId="0" borderId="11" xfId="35" applyFont="1" applyBorder="1" applyAlignment="1">
      <alignment horizontal="right" vertical="center" wrapText="1"/>
    </xf>
    <xf numFmtId="0" fontId="83" fillId="0" borderId="13" xfId="35" applyFont="1" applyBorder="1" applyAlignment="1">
      <alignment horizontal="right" vertical="center" wrapText="1"/>
    </xf>
    <xf numFmtId="0" fontId="33" fillId="0" borderId="17" xfId="35" applyFont="1" applyBorder="1" applyAlignment="1">
      <alignment horizontal="center" vertical="center" wrapText="1"/>
    </xf>
    <xf numFmtId="0" fontId="33" fillId="0" borderId="18" xfId="35" applyFont="1" applyBorder="1" applyAlignment="1">
      <alignment horizontal="center" vertical="center" wrapText="1"/>
    </xf>
    <xf numFmtId="0" fontId="33" fillId="0" borderId="19" xfId="35" applyFont="1" applyBorder="1" applyAlignment="1">
      <alignment horizontal="center" vertical="center" wrapText="1"/>
    </xf>
    <xf numFmtId="0" fontId="13" fillId="0" borderId="20" xfId="0" applyFont="1" applyBorder="1" applyAlignment="1">
      <alignment horizontal="right" vertical="center" wrapText="1" indent="1"/>
    </xf>
    <xf numFmtId="0" fontId="13" fillId="0" borderId="0" xfId="0" applyFont="1" applyAlignment="1">
      <alignment horizontal="right" vertical="center" wrapText="1" indent="1"/>
    </xf>
    <xf numFmtId="0" fontId="13" fillId="0" borderId="21" xfId="0" applyFont="1" applyBorder="1" applyAlignment="1">
      <alignment horizontal="right" vertical="center" wrapText="1" indent="1"/>
    </xf>
    <xf numFmtId="1" fontId="36" fillId="0" borderId="2" xfId="0" applyNumberFormat="1" applyFont="1" applyBorder="1" applyAlignment="1">
      <alignment horizontal="center" vertical="center" wrapText="1"/>
    </xf>
    <xf numFmtId="1" fontId="36" fillId="0" borderId="7" xfId="0" applyNumberFormat="1" applyFont="1" applyBorder="1" applyAlignment="1">
      <alignment horizontal="center" vertical="center" wrapText="1"/>
    </xf>
    <xf numFmtId="1" fontId="36" fillId="0" borderId="9" xfId="0" applyNumberFormat="1" applyFont="1" applyBorder="1" applyAlignment="1">
      <alignment horizontal="center" vertical="center" wrapText="1"/>
    </xf>
    <xf numFmtId="1" fontId="36" fillId="0" borderId="33" xfId="0" applyNumberFormat="1" applyFont="1" applyBorder="1" applyAlignment="1">
      <alignment horizontal="center" vertical="center" wrapText="1"/>
    </xf>
    <xf numFmtId="0" fontId="33" fillId="20" borderId="17" xfId="35" applyFont="1" applyFill="1" applyBorder="1" applyAlignment="1">
      <alignment horizontal="center" vertical="center" wrapText="1"/>
    </xf>
    <xf numFmtId="0" fontId="33" fillId="20" borderId="18" xfId="35" applyFont="1" applyFill="1" applyBorder="1" applyAlignment="1">
      <alignment horizontal="center" vertical="center" wrapText="1"/>
    </xf>
    <xf numFmtId="0" fontId="33" fillId="20" borderId="19" xfId="35" applyFont="1" applyFill="1" applyBorder="1" applyAlignment="1">
      <alignment horizontal="center" vertical="center" wrapText="1"/>
    </xf>
    <xf numFmtId="0" fontId="13" fillId="0" borderId="27" xfId="0" applyFont="1" applyBorder="1" applyAlignment="1">
      <alignment horizontal="right" vertical="center" wrapText="1"/>
    </xf>
    <xf numFmtId="0" fontId="13" fillId="0" borderId="28" xfId="0" applyFont="1" applyBorder="1" applyAlignment="1">
      <alignment horizontal="right" vertical="center" wrapText="1"/>
    </xf>
    <xf numFmtId="0" fontId="13" fillId="0" borderId="29" xfId="0" applyFont="1" applyBorder="1" applyAlignment="1">
      <alignment horizontal="right" vertical="center" wrapText="1"/>
    </xf>
    <xf numFmtId="0" fontId="38" fillId="0" borderId="20" xfId="0" applyFont="1" applyBorder="1" applyAlignment="1">
      <alignment horizontal="left" vertical="center"/>
    </xf>
    <xf numFmtId="0" fontId="38" fillId="0" borderId="0" xfId="0" applyFont="1" applyAlignment="1">
      <alignment horizontal="left" vertical="center"/>
    </xf>
    <xf numFmtId="0" fontId="38" fillId="5" borderId="20" xfId="0" quotePrefix="1" applyFont="1" applyFill="1" applyBorder="1" applyAlignment="1">
      <alignment horizontal="left" vertical="center"/>
    </xf>
    <xf numFmtId="0" fontId="38" fillId="5" borderId="0" xfId="0" quotePrefix="1" applyFont="1" applyFill="1" applyAlignment="1">
      <alignment horizontal="left" vertical="center"/>
    </xf>
    <xf numFmtId="0" fontId="38" fillId="5" borderId="20" xfId="0" applyFont="1" applyFill="1" applyBorder="1" applyAlignment="1">
      <alignment horizontal="left" vertical="center"/>
    </xf>
    <xf numFmtId="0" fontId="38" fillId="5" borderId="0" xfId="0" applyFont="1" applyFill="1" applyAlignment="1">
      <alignment horizontal="left" vertical="center"/>
    </xf>
    <xf numFmtId="0" fontId="38" fillId="0" borderId="22" xfId="0" applyFont="1" applyBorder="1" applyAlignment="1">
      <alignment horizontal="left" vertical="center"/>
    </xf>
    <xf numFmtId="0" fontId="38" fillId="0" borderId="23" xfId="0" applyFont="1" applyBorder="1" applyAlignment="1">
      <alignment horizontal="left" vertical="center"/>
    </xf>
    <xf numFmtId="0" fontId="13" fillId="5" borderId="16" xfId="0" applyFont="1" applyFill="1" applyBorder="1" applyAlignment="1">
      <alignment horizontal="left" vertical="center"/>
    </xf>
    <xf numFmtId="0" fontId="13" fillId="5" borderId="33" xfId="0" applyFont="1" applyFill="1" applyBorder="1" applyAlignment="1">
      <alignment horizontal="left" vertical="center"/>
    </xf>
    <xf numFmtId="0" fontId="9" fillId="0" borderId="17" xfId="35" applyFont="1" applyBorder="1" applyAlignment="1">
      <alignment horizontal="center" vertical="center" wrapText="1"/>
    </xf>
    <xf numFmtId="0" fontId="9" fillId="0" borderId="18" xfId="35" applyFont="1" applyBorder="1" applyAlignment="1">
      <alignment horizontal="center" vertical="center" wrapText="1"/>
    </xf>
    <xf numFmtId="0" fontId="9" fillId="0" borderId="19" xfId="35" applyFont="1" applyBorder="1" applyAlignment="1">
      <alignment horizontal="center" vertical="center" wrapText="1"/>
    </xf>
    <xf numFmtId="0" fontId="13" fillId="0" borderId="47" xfId="0" applyFont="1" applyBorder="1" applyAlignment="1">
      <alignment horizontal="right" vertical="center" wrapText="1"/>
    </xf>
    <xf numFmtId="0" fontId="13" fillId="0" borderId="13" xfId="0" applyFont="1" applyBorder="1" applyAlignment="1">
      <alignment horizontal="right" vertical="center" wrapText="1"/>
    </xf>
    <xf numFmtId="0" fontId="13" fillId="0" borderId="48" xfId="0" applyFont="1" applyBorder="1" applyAlignment="1">
      <alignment horizontal="right" vertical="center" wrapText="1"/>
    </xf>
    <xf numFmtId="0" fontId="13" fillId="0" borderId="30" xfId="0" applyFont="1" applyBorder="1" applyAlignment="1">
      <alignment horizontal="left" vertical="center"/>
    </xf>
    <xf numFmtId="0" fontId="13" fillId="0" borderId="8" xfId="0" applyFont="1" applyBorder="1" applyAlignment="1">
      <alignment horizontal="left" vertical="center"/>
    </xf>
    <xf numFmtId="0" fontId="13" fillId="0" borderId="31" xfId="0" applyFont="1" applyBorder="1" applyAlignment="1">
      <alignment horizontal="left" vertical="center"/>
    </xf>
    <xf numFmtId="0" fontId="13" fillId="5" borderId="30" xfId="0" applyFont="1" applyFill="1" applyBorder="1" applyAlignment="1">
      <alignment horizontal="left" vertical="center"/>
    </xf>
    <xf numFmtId="0" fontId="13" fillId="5" borderId="8" xfId="0" applyFont="1" applyFill="1" applyBorder="1" applyAlignment="1">
      <alignment horizontal="left" vertical="center"/>
    </xf>
    <xf numFmtId="0" fontId="13" fillId="5" borderId="31" xfId="0" applyFont="1" applyFill="1" applyBorder="1" applyAlignment="1">
      <alignment horizontal="left" vertical="center"/>
    </xf>
    <xf numFmtId="0" fontId="104" fillId="0" borderId="0" xfId="0" applyFont="1" applyAlignment="1">
      <alignment horizontal="center" vertical="center"/>
    </xf>
    <xf numFmtId="0" fontId="23" fillId="0" borderId="17" xfId="0" applyFont="1" applyBorder="1" applyAlignment="1">
      <alignment horizontal="center" vertical="center" wrapText="1"/>
    </xf>
    <xf numFmtId="0" fontId="23" fillId="0" borderId="18" xfId="0" applyFont="1" applyBorder="1" applyAlignment="1">
      <alignment horizontal="center" vertical="center" wrapText="1"/>
    </xf>
    <xf numFmtId="0" fontId="23" fillId="0" borderId="19" xfId="0" applyFont="1" applyBorder="1" applyAlignment="1">
      <alignment horizontal="center" vertical="center" wrapText="1"/>
    </xf>
    <xf numFmtId="0" fontId="36" fillId="0" borderId="30" xfId="0" applyFont="1" applyBorder="1" applyAlignment="1">
      <alignment horizontal="left" vertical="center"/>
    </xf>
    <xf numFmtId="0" fontId="36" fillId="0" borderId="8" xfId="0" applyFont="1" applyBorder="1" applyAlignment="1">
      <alignment horizontal="left" vertical="center"/>
    </xf>
    <xf numFmtId="0" fontId="36" fillId="0" borderId="31" xfId="0" applyFont="1" applyBorder="1" applyAlignment="1">
      <alignment horizontal="left" vertical="center"/>
    </xf>
    <xf numFmtId="0" fontId="15" fillId="0" borderId="52" xfId="0" applyFont="1" applyBorder="1" applyAlignment="1">
      <alignment horizontal="left" vertical="center" wrapText="1"/>
    </xf>
    <xf numFmtId="0" fontId="15" fillId="0" borderId="53" xfId="0" applyFont="1" applyBorder="1" applyAlignment="1">
      <alignment horizontal="left" vertical="center" wrapText="1"/>
    </xf>
    <xf numFmtId="0" fontId="15" fillId="0" borderId="54" xfId="0" applyFont="1" applyBorder="1" applyAlignment="1">
      <alignment horizontal="left" vertical="center" wrapText="1"/>
    </xf>
    <xf numFmtId="0" fontId="9" fillId="0" borderId="57" xfId="35" applyFont="1" applyBorder="1" applyAlignment="1">
      <alignment horizontal="center" vertical="center" wrapText="1"/>
    </xf>
    <xf numFmtId="0" fontId="9" fillId="0" borderId="58" xfId="35" applyFont="1" applyBorder="1" applyAlignment="1">
      <alignment horizontal="center" vertical="center" wrapText="1"/>
    </xf>
    <xf numFmtId="0" fontId="9" fillId="0" borderId="59" xfId="35" applyFont="1" applyBorder="1" applyAlignment="1">
      <alignment horizontal="center" vertical="center" wrapText="1"/>
    </xf>
    <xf numFmtId="0" fontId="36" fillId="0" borderId="27" xfId="0" applyFont="1" applyBorder="1" applyAlignment="1">
      <alignment horizontal="right" vertical="center" wrapText="1"/>
    </xf>
    <xf numFmtId="0" fontId="36" fillId="0" borderId="28" xfId="0" applyFont="1" applyBorder="1" applyAlignment="1">
      <alignment horizontal="right" vertical="center" wrapText="1"/>
    </xf>
    <xf numFmtId="0" fontId="36" fillId="0" borderId="29" xfId="0" applyFont="1" applyBorder="1" applyAlignment="1">
      <alignment horizontal="right" vertical="center" wrapText="1"/>
    </xf>
    <xf numFmtId="43" fontId="39" fillId="0" borderId="33" xfId="9" applyFont="1" applyBorder="1" applyAlignment="1">
      <alignment horizontal="center" vertical="center" wrapText="1"/>
    </xf>
    <xf numFmtId="43" fontId="39" fillId="0" borderId="33" xfId="9" applyFont="1" applyBorder="1" applyAlignment="1">
      <alignment horizontal="center" vertical="center"/>
    </xf>
    <xf numFmtId="0" fontId="103" fillId="23" borderId="27" xfId="35" applyFont="1" applyFill="1" applyBorder="1" applyAlignment="1">
      <alignment horizontal="center" vertical="center" wrapText="1"/>
    </xf>
    <xf numFmtId="0" fontId="103" fillId="23" borderId="28" xfId="35" applyFont="1" applyFill="1" applyBorder="1" applyAlignment="1">
      <alignment horizontal="center" vertical="center" wrapText="1"/>
    </xf>
    <xf numFmtId="0" fontId="103" fillId="23" borderId="29" xfId="35" applyFont="1" applyFill="1" applyBorder="1" applyAlignment="1">
      <alignment horizontal="center" vertical="center" wrapText="1"/>
    </xf>
    <xf numFmtId="0" fontId="13" fillId="0" borderId="20" xfId="0" applyFont="1" applyBorder="1" applyAlignment="1">
      <alignment horizontal="center" vertical="center"/>
    </xf>
    <xf numFmtId="0" fontId="13" fillId="0" borderId="0" xfId="0" applyFont="1" applyAlignment="1">
      <alignment horizontal="center" vertical="center"/>
    </xf>
    <xf numFmtId="43" fontId="13" fillId="0" borderId="7" xfId="9" applyFont="1" applyBorder="1" applyAlignment="1">
      <alignment horizontal="center" vertical="center"/>
    </xf>
    <xf numFmtId="43" fontId="13" fillId="0" borderId="8" xfId="9" applyFont="1" applyBorder="1" applyAlignment="1">
      <alignment horizontal="center" vertical="center"/>
    </xf>
    <xf numFmtId="43" fontId="13" fillId="0" borderId="9" xfId="9" applyFont="1" applyBorder="1" applyAlignment="1">
      <alignment horizontal="center" vertical="center"/>
    </xf>
    <xf numFmtId="43" fontId="36" fillId="0" borderId="2" xfId="9" applyFont="1" applyBorder="1" applyAlignment="1">
      <alignment horizontal="center" vertical="center"/>
    </xf>
    <xf numFmtId="43" fontId="36" fillId="0" borderId="33" xfId="9" applyFont="1" applyBorder="1" applyAlignment="1">
      <alignment horizontal="center" vertical="center"/>
    </xf>
    <xf numFmtId="0" fontId="39" fillId="0" borderId="2" xfId="0" applyFont="1" applyBorder="1" applyAlignment="1">
      <alignment horizontal="center" wrapText="1"/>
    </xf>
    <xf numFmtId="0" fontId="36" fillId="0" borderId="32" xfId="0" applyFont="1" applyBorder="1" applyAlignment="1">
      <alignment horizontal="center" vertical="center"/>
    </xf>
    <xf numFmtId="0" fontId="36" fillId="0" borderId="70" xfId="0" applyFont="1" applyBorder="1" applyAlignment="1">
      <alignment horizontal="center" vertical="center"/>
    </xf>
    <xf numFmtId="0" fontId="36" fillId="0" borderId="38" xfId="0" applyFont="1" applyBorder="1" applyAlignment="1">
      <alignment horizontal="center" vertical="center"/>
    </xf>
    <xf numFmtId="41" fontId="13" fillId="0" borderId="2" xfId="39" applyFont="1" applyBorder="1" applyAlignment="1">
      <alignment horizontal="center" vertical="center"/>
    </xf>
    <xf numFmtId="0" fontId="38" fillId="5" borderId="1" xfId="0" applyFont="1" applyFill="1" applyBorder="1" applyAlignment="1">
      <alignment horizontal="left" vertical="top" wrapText="1"/>
    </xf>
    <xf numFmtId="0" fontId="38" fillId="5" borderId="0" xfId="0" applyFont="1" applyFill="1" applyAlignment="1">
      <alignment horizontal="left" vertical="top" wrapText="1"/>
    </xf>
    <xf numFmtId="0" fontId="38" fillId="5" borderId="15" xfId="0" applyFont="1" applyFill="1" applyBorder="1" applyAlignment="1">
      <alignment horizontal="left" vertical="top" wrapText="1"/>
    </xf>
    <xf numFmtId="0" fontId="38" fillId="5" borderId="11" xfId="0" applyFont="1" applyFill="1" applyBorder="1" applyAlignment="1">
      <alignment horizontal="left" vertical="top" wrapText="1"/>
    </xf>
    <xf numFmtId="0" fontId="38" fillId="5" borderId="13" xfId="0" applyFont="1" applyFill="1" applyBorder="1" applyAlignment="1">
      <alignment horizontal="left" vertical="top" wrapText="1"/>
    </xf>
    <xf numFmtId="0" fontId="38" fillId="5" borderId="14" xfId="0" applyFont="1" applyFill="1" applyBorder="1" applyAlignment="1">
      <alignment horizontal="left" vertical="top" wrapText="1"/>
    </xf>
    <xf numFmtId="0" fontId="33" fillId="0" borderId="57" xfId="35" applyFont="1" applyBorder="1" applyAlignment="1">
      <alignment horizontal="center" vertical="center" wrapText="1"/>
    </xf>
    <xf numFmtId="0" fontId="33" fillId="0" borderId="58" xfId="35" applyFont="1" applyBorder="1" applyAlignment="1">
      <alignment horizontal="center" vertical="center" wrapText="1"/>
    </xf>
    <xf numFmtId="0" fontId="33" fillId="0" borderId="59" xfId="35" applyFont="1" applyBorder="1" applyAlignment="1">
      <alignment horizontal="center" vertical="center" wrapText="1"/>
    </xf>
    <xf numFmtId="0" fontId="44" fillId="0" borderId="0" xfId="0" applyFont="1" applyAlignment="1">
      <alignment horizontal="right" vertical="center"/>
    </xf>
    <xf numFmtId="41" fontId="13" fillId="0" borderId="7" xfId="39" applyFont="1" applyBorder="1" applyAlignment="1">
      <alignment horizontal="center" vertical="center"/>
    </xf>
    <xf numFmtId="41" fontId="13" fillId="0" borderId="9" xfId="39" applyFont="1" applyBorder="1" applyAlignment="1">
      <alignment horizontal="center" vertical="center"/>
    </xf>
    <xf numFmtId="0" fontId="37" fillId="0" borderId="30" xfId="0" applyFont="1" applyBorder="1" applyAlignment="1">
      <alignment horizontal="left" vertical="top" wrapText="1"/>
    </xf>
    <xf numFmtId="0" fontId="37" fillId="0" borderId="8" xfId="0" applyFont="1" applyBorder="1" applyAlignment="1">
      <alignment horizontal="left" vertical="top" wrapText="1"/>
    </xf>
    <xf numFmtId="0" fontId="37" fillId="0" borderId="31" xfId="0" applyFont="1" applyBorder="1" applyAlignment="1">
      <alignment horizontal="left" vertical="top" wrapText="1"/>
    </xf>
    <xf numFmtId="0" fontId="37" fillId="0" borderId="52" xfId="0" applyFont="1" applyBorder="1" applyAlignment="1">
      <alignment horizontal="left" vertical="top" wrapText="1"/>
    </xf>
    <xf numFmtId="0" fontId="37" fillId="0" borderId="53" xfId="0" applyFont="1" applyBorder="1" applyAlignment="1">
      <alignment horizontal="left" vertical="top" wrapText="1"/>
    </xf>
    <xf numFmtId="0" fontId="37" fillId="0" borderId="54" xfId="0" applyFont="1" applyBorder="1" applyAlignment="1">
      <alignment horizontal="left" vertical="top" wrapText="1"/>
    </xf>
    <xf numFmtId="0" fontId="69" fillId="0" borderId="27" xfId="35" applyFont="1" applyBorder="1" applyAlignment="1">
      <alignment horizontal="center" vertical="center" wrapText="1"/>
    </xf>
    <xf numFmtId="0" fontId="69" fillId="0" borderId="28" xfId="35" applyFont="1" applyBorder="1" applyAlignment="1">
      <alignment horizontal="center" vertical="center" wrapText="1"/>
    </xf>
    <xf numFmtId="0" fontId="69" fillId="0" borderId="29" xfId="35" applyFont="1" applyBorder="1" applyAlignment="1">
      <alignment horizontal="center" vertical="center" wrapText="1"/>
    </xf>
    <xf numFmtId="0" fontId="44" fillId="0" borderId="55" xfId="0" applyFont="1" applyBorder="1" applyAlignment="1">
      <alignment horizontal="center" vertical="center"/>
    </xf>
    <xf numFmtId="0" fontId="44" fillId="0" borderId="12" xfId="0" applyFont="1" applyBorder="1" applyAlignment="1">
      <alignment horizontal="center" vertical="center"/>
    </xf>
    <xf numFmtId="0" fontId="44" fillId="0" borderId="51" xfId="0" applyFont="1" applyBorder="1" applyAlignment="1">
      <alignment horizontal="center" vertical="center"/>
    </xf>
    <xf numFmtId="0" fontId="13" fillId="0" borderId="35" xfId="0" applyFont="1" applyBorder="1" applyAlignment="1">
      <alignment horizontal="center" vertical="center"/>
    </xf>
    <xf numFmtId="0" fontId="13" fillId="0" borderId="16" xfId="0" applyFont="1" applyBorder="1" applyAlignment="1">
      <alignment horizontal="center" vertical="center"/>
    </xf>
    <xf numFmtId="0" fontId="13" fillId="0" borderId="36" xfId="0" applyFont="1" applyBorder="1" applyAlignment="1">
      <alignment horizontal="center" vertical="center"/>
    </xf>
    <xf numFmtId="0" fontId="13" fillId="0" borderId="37" xfId="0" applyFont="1" applyBorder="1" applyAlignment="1">
      <alignment horizontal="center" vertical="center"/>
    </xf>
    <xf numFmtId="0" fontId="38" fillId="0" borderId="38" xfId="0" applyFont="1" applyBorder="1" applyAlignment="1">
      <alignment horizontal="left" vertical="top" wrapText="1"/>
    </xf>
    <xf numFmtId="0" fontId="38" fillId="0" borderId="5" xfId="0" applyFont="1" applyBorder="1" applyAlignment="1">
      <alignment horizontal="left" vertical="top"/>
    </xf>
    <xf numFmtId="0" fontId="13" fillId="5" borderId="47" xfId="0" applyFont="1" applyFill="1" applyBorder="1" applyAlignment="1">
      <alignment horizontal="center" vertical="center"/>
    </xf>
    <xf numFmtId="0" fontId="13" fillId="5" borderId="13" xfId="0" applyFont="1" applyFill="1" applyBorder="1" applyAlignment="1">
      <alignment horizontal="center" vertical="center"/>
    </xf>
    <xf numFmtId="0" fontId="44" fillId="0" borderId="57" xfId="0" applyFont="1" applyBorder="1" applyAlignment="1">
      <alignment horizontal="center" vertical="center"/>
    </xf>
    <xf numFmtId="0" fontId="44" fillId="0" borderId="58" xfId="0" applyFont="1" applyBorder="1" applyAlignment="1">
      <alignment horizontal="center" vertical="center"/>
    </xf>
    <xf numFmtId="0" fontId="44" fillId="0" borderId="59" xfId="0" applyFont="1" applyBorder="1" applyAlignment="1">
      <alignment horizontal="center" vertical="center"/>
    </xf>
    <xf numFmtId="0" fontId="10" fillId="0" borderId="23" xfId="0" applyFont="1" applyBorder="1" applyAlignment="1">
      <alignment horizontal="left" vertical="top" wrapText="1"/>
    </xf>
    <xf numFmtId="0" fontId="10" fillId="0" borderId="24" xfId="0" applyFont="1" applyBorder="1" applyAlignment="1">
      <alignment horizontal="left" vertical="top" wrapText="1"/>
    </xf>
    <xf numFmtId="0" fontId="109" fillId="0" borderId="0" xfId="5" applyFont="1" applyFill="1" applyBorder="1" applyAlignment="1" applyProtection="1">
      <alignment horizontal="center" vertical="center" wrapText="1"/>
    </xf>
    <xf numFmtId="0" fontId="34" fillId="0" borderId="18" xfId="0" applyFont="1" applyBorder="1" applyAlignment="1">
      <alignment horizontal="center" vertical="center"/>
    </xf>
    <xf numFmtId="0" fontId="34" fillId="0" borderId="19" xfId="0" applyFont="1" applyBorder="1" applyAlignment="1">
      <alignment horizontal="center" vertical="center"/>
    </xf>
    <xf numFmtId="0" fontId="59" fillId="0" borderId="0" xfId="0" applyFont="1" applyAlignment="1">
      <alignment horizontal="center" vertical="center"/>
    </xf>
    <xf numFmtId="0" fontId="7" fillId="0" borderId="0" xfId="0" applyFont="1" applyAlignment="1">
      <alignment horizontal="left" vertical="top" wrapText="1"/>
    </xf>
    <xf numFmtId="0" fontId="7" fillId="0" borderId="21" xfId="0" applyFont="1" applyBorder="1" applyAlignment="1">
      <alignment horizontal="left" vertical="top" wrapText="1"/>
    </xf>
    <xf numFmtId="0" fontId="7" fillId="0" borderId="23" xfId="0" applyFont="1" applyBorder="1" applyAlignment="1">
      <alignment horizontal="left" vertical="top" wrapText="1"/>
    </xf>
    <xf numFmtId="0" fontId="7" fillId="0" borderId="24" xfId="0" applyFont="1" applyBorder="1" applyAlignment="1">
      <alignment horizontal="left" vertical="top" wrapText="1"/>
    </xf>
    <xf numFmtId="0" fontId="37" fillId="0" borderId="0" xfId="0" applyFont="1" applyAlignment="1">
      <alignment horizontal="center" vertical="top" wrapText="1"/>
    </xf>
    <xf numFmtId="0" fontId="47" fillId="0" borderId="18" xfId="0" applyFont="1" applyBorder="1" applyAlignment="1">
      <alignment horizontal="center" vertical="center"/>
    </xf>
    <xf numFmtId="0" fontId="59" fillId="0" borderId="18" xfId="0" applyFont="1" applyBorder="1" applyAlignment="1">
      <alignment horizontal="center" vertical="center"/>
    </xf>
    <xf numFmtId="0" fontId="59" fillId="0" borderId="19" xfId="0" applyFont="1" applyBorder="1" applyAlignment="1">
      <alignment horizontal="center" vertical="center"/>
    </xf>
    <xf numFmtId="0" fontId="44" fillId="0" borderId="0" xfId="0" applyFont="1" applyAlignment="1">
      <alignment horizontal="center" vertical="center"/>
    </xf>
    <xf numFmtId="0" fontId="15" fillId="0" borderId="16" xfId="0" applyFont="1" applyBorder="1" applyAlignment="1">
      <alignment horizontal="left" vertical="center" wrapText="1"/>
    </xf>
    <xf numFmtId="0" fontId="15" fillId="0" borderId="2" xfId="0" applyFont="1" applyBorder="1" applyAlignment="1">
      <alignment horizontal="left" vertical="center" wrapText="1"/>
    </xf>
    <xf numFmtId="0" fontId="48" fillId="0" borderId="35" xfId="35" applyFont="1" applyBorder="1" applyAlignment="1">
      <alignment horizontal="center" vertical="center" wrapText="1"/>
    </xf>
    <xf numFmtId="0" fontId="48" fillId="0" borderId="36" xfId="35" applyFont="1" applyBorder="1" applyAlignment="1">
      <alignment horizontal="center" vertical="center" wrapText="1"/>
    </xf>
    <xf numFmtId="0" fontId="48" fillId="0" borderId="37" xfId="35" applyFont="1" applyBorder="1" applyAlignment="1">
      <alignment horizontal="center" vertical="center" wrapText="1"/>
    </xf>
    <xf numFmtId="41" fontId="47" fillId="0" borderId="16" xfId="39" applyFont="1" applyBorder="1" applyAlignment="1">
      <alignment horizontal="center" vertical="center"/>
    </xf>
    <xf numFmtId="41" fontId="47" fillId="0" borderId="2" xfId="39" applyFont="1" applyBorder="1" applyAlignment="1">
      <alignment horizontal="center" vertical="center"/>
    </xf>
    <xf numFmtId="41" fontId="47" fillId="0" borderId="33" xfId="39" applyFont="1" applyBorder="1" applyAlignment="1">
      <alignment horizontal="center" vertical="center"/>
    </xf>
    <xf numFmtId="41" fontId="13" fillId="0" borderId="16" xfId="39" applyFont="1" applyBorder="1" applyAlignment="1">
      <alignment horizontal="center" vertical="center"/>
    </xf>
    <xf numFmtId="0" fontId="15" fillId="0" borderId="49" xfId="0" applyFont="1" applyBorder="1" applyAlignment="1">
      <alignment vertical="center" wrapText="1"/>
    </xf>
    <xf numFmtId="0" fontId="15" fillId="0" borderId="44" xfId="0" applyFont="1" applyBorder="1" applyAlignment="1">
      <alignment vertical="center" wrapText="1"/>
    </xf>
    <xf numFmtId="0" fontId="15" fillId="0" borderId="50" xfId="0" applyFont="1" applyBorder="1" applyAlignment="1">
      <alignment vertical="center" wrapText="1"/>
    </xf>
    <xf numFmtId="0" fontId="10" fillId="0" borderId="16" xfId="0" applyFont="1" applyBorder="1" applyAlignment="1">
      <alignment horizontal="left" vertical="center" wrapText="1"/>
    </xf>
    <xf numFmtId="0" fontId="10" fillId="0" borderId="2" xfId="0" applyFont="1" applyBorder="1" applyAlignment="1">
      <alignment horizontal="left" vertical="center" wrapText="1"/>
    </xf>
    <xf numFmtId="0" fontId="7" fillId="0" borderId="0" xfId="0" applyFont="1" applyAlignment="1">
      <alignment horizontal="center"/>
    </xf>
    <xf numFmtId="0" fontId="38" fillId="0" borderId="20" xfId="0" applyFont="1" applyBorder="1" applyAlignment="1">
      <alignment horizontal="left" vertical="top"/>
    </xf>
    <xf numFmtId="0" fontId="38" fillId="0" borderId="0" xfId="0" applyFont="1" applyAlignment="1">
      <alignment horizontal="left" vertical="top"/>
    </xf>
    <xf numFmtId="0" fontId="38" fillId="0" borderId="21" xfId="0" applyFont="1" applyBorder="1" applyAlignment="1">
      <alignment horizontal="left" vertical="top"/>
    </xf>
    <xf numFmtId="0" fontId="69" fillId="0" borderId="35" xfId="35" applyFont="1" applyBorder="1" applyAlignment="1">
      <alignment horizontal="center" vertical="center" wrapText="1"/>
    </xf>
    <xf numFmtId="0" fontId="69" fillId="0" borderId="36" xfId="35" applyFont="1" applyBorder="1" applyAlignment="1">
      <alignment horizontal="center" vertical="center" wrapText="1"/>
    </xf>
    <xf numFmtId="0" fontId="69" fillId="0" borderId="37" xfId="35" applyFont="1" applyBorder="1" applyAlignment="1">
      <alignment horizontal="center" vertical="center" wrapText="1"/>
    </xf>
    <xf numFmtId="0" fontId="38" fillId="0" borderId="21" xfId="0" applyFont="1" applyBorder="1" applyAlignment="1">
      <alignment horizontal="left" vertical="center"/>
    </xf>
    <xf numFmtId="0" fontId="69" fillId="5" borderId="20" xfId="35" applyFont="1" applyFill="1" applyBorder="1" applyAlignment="1">
      <alignment horizontal="center" vertical="center" wrapText="1"/>
    </xf>
    <xf numFmtId="0" fontId="69" fillId="5" borderId="0" xfId="35" applyFont="1" applyFill="1" applyAlignment="1">
      <alignment horizontal="center" vertical="center" wrapText="1"/>
    </xf>
    <xf numFmtId="0" fontId="69" fillId="5" borderId="21" xfId="35" applyFont="1" applyFill="1" applyBorder="1" applyAlignment="1">
      <alignment horizontal="center" vertical="center" wrapText="1"/>
    </xf>
    <xf numFmtId="0" fontId="69" fillId="0" borderId="20" xfId="35" applyFont="1" applyBorder="1" applyAlignment="1">
      <alignment horizontal="center" vertical="center" wrapText="1"/>
    </xf>
    <xf numFmtId="0" fontId="69" fillId="0" borderId="0" xfId="35" applyFont="1" applyAlignment="1">
      <alignment horizontal="center" vertical="center" wrapText="1"/>
    </xf>
    <xf numFmtId="0" fontId="69" fillId="0" borderId="21" xfId="35" applyFont="1" applyBorder="1" applyAlignment="1">
      <alignment horizontal="center" vertical="center" wrapText="1"/>
    </xf>
    <xf numFmtId="0" fontId="15" fillId="5" borderId="20" xfId="0" applyFont="1" applyFill="1" applyBorder="1" applyAlignment="1">
      <alignment horizontal="left" vertical="top" wrapText="1"/>
    </xf>
    <xf numFmtId="0" fontId="15" fillId="5" borderId="0" xfId="0" applyFont="1" applyFill="1" applyAlignment="1">
      <alignment horizontal="left" vertical="top" wrapText="1"/>
    </xf>
    <xf numFmtId="0" fontId="15" fillId="5" borderId="21" xfId="0" applyFont="1" applyFill="1" applyBorder="1" applyAlignment="1">
      <alignment horizontal="left" vertical="top" wrapText="1"/>
    </xf>
    <xf numFmtId="0" fontId="15" fillId="0" borderId="20" xfId="0" applyFont="1" applyBorder="1" applyAlignment="1">
      <alignment horizontal="left" vertical="top" wrapText="1"/>
    </xf>
    <xf numFmtId="0" fontId="15" fillId="0" borderId="0" xfId="0" applyFont="1" applyAlignment="1">
      <alignment horizontal="left" vertical="top" wrapText="1"/>
    </xf>
    <xf numFmtId="0" fontId="15" fillId="0" borderId="21" xfId="0" applyFont="1" applyBorder="1" applyAlignment="1">
      <alignment horizontal="left" vertical="top" wrapText="1"/>
    </xf>
    <xf numFmtId="0" fontId="15" fillId="0" borderId="22" xfId="0" applyFont="1" applyBorder="1" applyAlignment="1">
      <alignment horizontal="left" vertical="top" wrapText="1"/>
    </xf>
    <xf numFmtId="0" fontId="15" fillId="0" borderId="23" xfId="0" applyFont="1" applyBorder="1" applyAlignment="1">
      <alignment horizontal="left" vertical="top" wrapText="1"/>
    </xf>
    <xf numFmtId="0" fontId="15" fillId="0" borderId="24" xfId="0" applyFont="1" applyBorder="1" applyAlignment="1">
      <alignment horizontal="left" vertical="top" wrapText="1"/>
    </xf>
    <xf numFmtId="1" fontId="44" fillId="0" borderId="20" xfId="0" applyNumberFormat="1" applyFont="1" applyBorder="1" applyAlignment="1">
      <alignment horizontal="right" vertical="center" wrapText="1"/>
    </xf>
    <xf numFmtId="1" fontId="44" fillId="0" borderId="0" xfId="0" applyNumberFormat="1" applyFont="1" applyAlignment="1">
      <alignment horizontal="right" vertical="center" wrapText="1"/>
    </xf>
    <xf numFmtId="1" fontId="44" fillId="0" borderId="21" xfId="0" applyNumberFormat="1" applyFont="1" applyBorder="1" applyAlignment="1">
      <alignment horizontal="right" vertical="center" wrapText="1"/>
    </xf>
    <xf numFmtId="41" fontId="13" fillId="0" borderId="68" xfId="39" applyFont="1" applyBorder="1" applyAlignment="1">
      <alignment horizontal="left" vertical="center" indent="1"/>
    </xf>
    <xf numFmtId="41" fontId="44" fillId="0" borderId="41" xfId="39" applyFont="1" applyBorder="1" applyAlignment="1">
      <alignment horizontal="center" vertical="center"/>
    </xf>
    <xf numFmtId="41" fontId="44" fillId="0" borderId="42" xfId="39" applyFont="1" applyBorder="1" applyAlignment="1">
      <alignment horizontal="center" vertical="center"/>
    </xf>
    <xf numFmtId="41" fontId="44" fillId="0" borderId="43" xfId="39" applyFont="1" applyBorder="1" applyAlignment="1">
      <alignment horizontal="center" vertical="center"/>
    </xf>
    <xf numFmtId="41" fontId="44" fillId="0" borderId="39" xfId="39" applyFont="1" applyBorder="1" applyAlignment="1">
      <alignment horizontal="center" vertical="center"/>
    </xf>
    <xf numFmtId="41" fontId="13" fillId="0" borderId="39" xfId="39" applyFont="1" applyBorder="1" applyAlignment="1">
      <alignment horizontal="center" vertical="center" wrapText="1"/>
    </xf>
    <xf numFmtId="41" fontId="13" fillId="0" borderId="67" xfId="39" applyFont="1" applyBorder="1" applyAlignment="1">
      <alignment horizontal="center" vertical="center" wrapText="1"/>
    </xf>
    <xf numFmtId="0" fontId="140" fillId="0" borderId="0" xfId="0" applyFont="1" applyAlignment="1">
      <alignment horizontal="center" vertical="center"/>
    </xf>
    <xf numFmtId="0" fontId="56" fillId="5" borderId="17" xfId="0" applyFont="1" applyFill="1" applyBorder="1" applyAlignment="1">
      <alignment horizontal="center"/>
    </xf>
    <xf numFmtId="0" fontId="56" fillId="5" borderId="18" xfId="0" applyFont="1" applyFill="1" applyBorder="1" applyAlignment="1">
      <alignment horizontal="center"/>
    </xf>
    <xf numFmtId="0" fontId="56" fillId="5" borderId="19" xfId="0" applyFont="1" applyFill="1" applyBorder="1" applyAlignment="1">
      <alignment horizontal="center"/>
    </xf>
    <xf numFmtId="0" fontId="13" fillId="0" borderId="20" xfId="0" applyFont="1" applyBorder="1" applyAlignment="1">
      <alignment horizontal="right"/>
    </xf>
    <xf numFmtId="0" fontId="13" fillId="0" borderId="0" xfId="0" applyFont="1" applyAlignment="1">
      <alignment horizontal="right"/>
    </xf>
    <xf numFmtId="0" fontId="13" fillId="0" borderId="21" xfId="0" applyFont="1" applyBorder="1" applyAlignment="1">
      <alignment horizontal="right"/>
    </xf>
    <xf numFmtId="0" fontId="47" fillId="0" borderId="20" xfId="0" applyFont="1" applyBorder="1" applyAlignment="1">
      <alignment horizontal="center"/>
    </xf>
    <xf numFmtId="0" fontId="47" fillId="0" borderId="0" xfId="0" applyFont="1" applyAlignment="1">
      <alignment horizontal="center"/>
    </xf>
    <xf numFmtId="0" fontId="7" fillId="0" borderId="20" xfId="0" applyFont="1" applyBorder="1" applyAlignment="1">
      <alignment horizontal="center"/>
    </xf>
    <xf numFmtId="0" fontId="33" fillId="0" borderId="20" xfId="0" applyFont="1" applyBorder="1" applyAlignment="1">
      <alignment horizontal="center"/>
    </xf>
    <xf numFmtId="0" fontId="33" fillId="0" borderId="0" xfId="0" applyFont="1" applyAlignment="1">
      <alignment horizontal="center"/>
    </xf>
    <xf numFmtId="0" fontId="33" fillId="0" borderId="21" xfId="0" applyFont="1" applyBorder="1" applyAlignment="1">
      <alignment horizontal="center"/>
    </xf>
    <xf numFmtId="0" fontId="221" fillId="23" borderId="17" xfId="0" applyFont="1" applyFill="1" applyBorder="1" applyAlignment="1">
      <alignment horizontal="center" vertical="center"/>
    </xf>
    <xf numFmtId="0" fontId="221" fillId="23" borderId="18" xfId="0" applyFont="1" applyFill="1" applyBorder="1" applyAlignment="1">
      <alignment horizontal="center" vertical="center"/>
    </xf>
    <xf numFmtId="0" fontId="221" fillId="23" borderId="19" xfId="0" applyFont="1" applyFill="1" applyBorder="1" applyAlignment="1">
      <alignment horizontal="center" vertical="center"/>
    </xf>
    <xf numFmtId="0" fontId="44" fillId="0" borderId="20" xfId="0" applyFont="1" applyBorder="1" applyAlignment="1">
      <alignment horizontal="center" vertical="center"/>
    </xf>
    <xf numFmtId="0" fontId="44" fillId="0" borderId="21" xfId="0" applyFont="1" applyBorder="1" applyAlignment="1">
      <alignment horizontal="center" vertical="center"/>
    </xf>
    <xf numFmtId="0" fontId="38" fillId="0" borderId="0" xfId="0" applyFont="1" applyAlignment="1">
      <alignment horizontal="left" vertical="top" wrapText="1"/>
    </xf>
    <xf numFmtId="41" fontId="34" fillId="0" borderId="18" xfId="39" applyFont="1" applyBorder="1" applyAlignment="1">
      <alignment horizontal="center" vertical="center" wrapText="1"/>
    </xf>
    <xf numFmtId="41" fontId="34" fillId="0" borderId="19" xfId="39" applyFont="1" applyBorder="1" applyAlignment="1">
      <alignment horizontal="center" vertical="center" wrapText="1"/>
    </xf>
    <xf numFmtId="1" fontId="47" fillId="0" borderId="0" xfId="0" applyNumberFormat="1" applyFont="1" applyAlignment="1">
      <alignment horizontal="right" vertical="center" wrapText="1"/>
    </xf>
    <xf numFmtId="1" fontId="47" fillId="0" borderId="21" xfId="0" applyNumberFormat="1" applyFont="1" applyBorder="1" applyAlignment="1">
      <alignment horizontal="right" vertical="center" wrapText="1"/>
    </xf>
    <xf numFmtId="41" fontId="36" fillId="0" borderId="2" xfId="39" applyFont="1" applyBorder="1" applyAlignment="1">
      <alignment horizontal="center" vertical="center"/>
    </xf>
    <xf numFmtId="41" fontId="36" fillId="0" borderId="2" xfId="39" applyFont="1" applyBorder="1" applyAlignment="1">
      <alignment horizontal="center" vertical="center" wrapText="1"/>
    </xf>
    <xf numFmtId="1" fontId="36" fillId="0" borderId="7" xfId="0" applyNumberFormat="1" applyFont="1" applyBorder="1" applyAlignment="1">
      <alignment horizontal="center" vertical="center"/>
    </xf>
    <xf numFmtId="1" fontId="36" fillId="0" borderId="9" xfId="0" applyNumberFormat="1" applyFont="1" applyBorder="1" applyAlignment="1">
      <alignment horizontal="center" vertical="center"/>
    </xf>
    <xf numFmtId="0" fontId="15" fillId="0" borderId="0" xfId="0" applyFont="1" applyAlignment="1">
      <alignment horizontal="left" vertical="center"/>
    </xf>
    <xf numFmtId="0" fontId="15" fillId="0" borderId="21" xfId="0" applyFont="1" applyBorder="1" applyAlignment="1">
      <alignment horizontal="left" vertical="center"/>
    </xf>
    <xf numFmtId="0" fontId="15" fillId="0" borderId="23" xfId="0" applyFont="1" applyBorder="1" applyAlignment="1">
      <alignment horizontal="left" vertical="center"/>
    </xf>
    <xf numFmtId="0" fontId="15" fillId="0" borderId="24" xfId="0" applyFont="1" applyBorder="1" applyAlignment="1">
      <alignment horizontal="left" vertical="center"/>
    </xf>
    <xf numFmtId="0" fontId="33" fillId="0" borderId="28" xfId="0" applyFont="1" applyBorder="1" applyAlignment="1">
      <alignment horizontal="center" vertical="center"/>
    </xf>
    <xf numFmtId="0" fontId="33" fillId="0" borderId="29" xfId="0" applyFont="1" applyBorder="1" applyAlignment="1">
      <alignment horizontal="center" vertical="center"/>
    </xf>
    <xf numFmtId="0" fontId="23" fillId="0" borderId="20" xfId="0" applyFont="1" applyBorder="1" applyAlignment="1">
      <alignment horizontal="right" vertical="center"/>
    </xf>
    <xf numFmtId="0" fontId="23" fillId="0" borderId="0" xfId="0" applyFont="1" applyAlignment="1">
      <alignment horizontal="right" vertical="center"/>
    </xf>
    <xf numFmtId="0" fontId="23" fillId="0" borderId="21" xfId="0" applyFont="1" applyBorder="1" applyAlignment="1">
      <alignment horizontal="right" vertical="center"/>
    </xf>
    <xf numFmtId="168" fontId="71" fillId="0" borderId="3" xfId="0" applyNumberFormat="1" applyFont="1" applyBorder="1" applyAlignment="1">
      <alignment horizontal="center" vertical="center"/>
    </xf>
    <xf numFmtId="168" fontId="71" fillId="0" borderId="5" xfId="0" applyNumberFormat="1" applyFont="1" applyBorder="1" applyAlignment="1">
      <alignment horizontal="center" vertical="center"/>
    </xf>
    <xf numFmtId="0" fontId="33" fillId="0" borderId="35" xfId="0" applyFont="1" applyBorder="1" applyAlignment="1">
      <alignment horizontal="center" vertical="center" wrapText="1"/>
    </xf>
    <xf numFmtId="0" fontId="33" fillId="0" borderId="81" xfId="0" applyFont="1" applyBorder="1" applyAlignment="1">
      <alignment horizontal="center" vertical="center" wrapText="1"/>
    </xf>
    <xf numFmtId="0" fontId="33" fillId="0" borderId="36" xfId="0" applyFont="1" applyBorder="1" applyAlignment="1">
      <alignment horizontal="center" vertical="center" wrapText="1"/>
    </xf>
    <xf numFmtId="0" fontId="33" fillId="0" borderId="37" xfId="0" applyFont="1" applyBorder="1" applyAlignment="1">
      <alignment horizontal="center" vertical="center" wrapText="1"/>
    </xf>
    <xf numFmtId="0" fontId="15" fillId="0" borderId="16" xfId="0" applyFont="1" applyBorder="1" applyAlignment="1">
      <alignment horizontal="right" vertical="center"/>
    </xf>
    <xf numFmtId="0" fontId="15" fillId="0" borderId="9" xfId="0" applyFont="1" applyBorder="1" applyAlignment="1">
      <alignment horizontal="right" vertical="center"/>
    </xf>
    <xf numFmtId="0" fontId="15" fillId="0" borderId="2" xfId="0" applyFont="1" applyBorder="1" applyAlignment="1">
      <alignment horizontal="right" vertical="center"/>
    </xf>
    <xf numFmtId="0" fontId="15" fillId="0" borderId="33" xfId="0" applyFont="1" applyBorder="1" applyAlignment="1">
      <alignment horizontal="right" vertical="center"/>
    </xf>
    <xf numFmtId="0" fontId="12" fillId="0" borderId="55" xfId="0" applyFont="1" applyBorder="1" applyAlignment="1">
      <alignment horizontal="left" vertical="center" wrapText="1"/>
    </xf>
    <xf numFmtId="0" fontId="12" fillId="0" borderId="12" xfId="0" applyFont="1" applyBorder="1" applyAlignment="1">
      <alignment horizontal="left" vertical="center" wrapText="1"/>
    </xf>
    <xf numFmtId="0" fontId="12" fillId="0" borderId="51" xfId="0" applyFont="1" applyBorder="1" applyAlignment="1">
      <alignment horizontal="left" vertical="center" wrapText="1"/>
    </xf>
    <xf numFmtId="0" fontId="23" fillId="0" borderId="47" xfId="0" applyFont="1" applyBorder="1" applyAlignment="1">
      <alignment horizontal="right" vertical="center"/>
    </xf>
    <xf numFmtId="0" fontId="23" fillId="0" borderId="13" xfId="0" applyFont="1" applyBorder="1" applyAlignment="1">
      <alignment horizontal="right" vertical="center"/>
    </xf>
    <xf numFmtId="0" fontId="23" fillId="0" borderId="48" xfId="0" applyFont="1" applyBorder="1" applyAlignment="1">
      <alignment horizontal="right" vertical="center"/>
    </xf>
    <xf numFmtId="0" fontId="23" fillId="0" borderId="16" xfId="44" applyFont="1" applyBorder="1" applyAlignment="1">
      <alignment horizontal="center" vertical="center"/>
    </xf>
    <xf numFmtId="0" fontId="23" fillId="0" borderId="7" xfId="44" applyFont="1" applyBorder="1" applyAlignment="1">
      <alignment horizontal="center" vertical="center"/>
    </xf>
    <xf numFmtId="0" fontId="23" fillId="0" borderId="8" xfId="44" applyFont="1" applyBorder="1" applyAlignment="1">
      <alignment horizontal="center" vertical="center"/>
    </xf>
    <xf numFmtId="0" fontId="23" fillId="0" borderId="9" xfId="44" applyFont="1" applyBorder="1" applyAlignment="1">
      <alignment horizontal="center" vertical="center"/>
    </xf>
    <xf numFmtId="0" fontId="10" fillId="0" borderId="20" xfId="0" applyFont="1" applyBorder="1" applyAlignment="1">
      <alignment horizontal="left" vertical="top" wrapText="1"/>
    </xf>
    <xf numFmtId="0" fontId="10" fillId="0" borderId="0" xfId="0" applyFont="1" applyAlignment="1">
      <alignment horizontal="left" vertical="top" wrapText="1"/>
    </xf>
    <xf numFmtId="0" fontId="9" fillId="0" borderId="20" xfId="0" applyFont="1" applyBorder="1" applyAlignment="1">
      <alignment horizontal="left" vertical="top" wrapText="1"/>
    </xf>
    <xf numFmtId="0" fontId="9" fillId="0" borderId="0" xfId="0" applyFont="1" applyAlignment="1">
      <alignment horizontal="left" vertical="top" wrapText="1"/>
    </xf>
    <xf numFmtId="0" fontId="9" fillId="0" borderId="32" xfId="44" applyFont="1" applyBorder="1" applyAlignment="1">
      <alignment horizontal="center" vertical="center" wrapText="1"/>
    </xf>
    <xf numFmtId="0" fontId="9" fillId="0" borderId="38" xfId="44" applyFont="1" applyBorder="1" applyAlignment="1">
      <alignment horizontal="center" vertical="center" wrapText="1"/>
    </xf>
    <xf numFmtId="0" fontId="56" fillId="0" borderId="35" xfId="0" applyFont="1" applyBorder="1" applyAlignment="1">
      <alignment horizontal="center" vertical="center" wrapText="1"/>
    </xf>
    <xf numFmtId="0" fontId="56" fillId="0" borderId="81" xfId="0" applyFont="1" applyBorder="1" applyAlignment="1">
      <alignment horizontal="center" vertical="center" wrapText="1"/>
    </xf>
    <xf numFmtId="0" fontId="56" fillId="0" borderId="36" xfId="0" applyFont="1" applyBorder="1" applyAlignment="1">
      <alignment horizontal="center" vertical="center" wrapText="1"/>
    </xf>
    <xf numFmtId="0" fontId="9" fillId="0" borderId="16" xfId="0" applyFont="1" applyBorder="1" applyAlignment="1">
      <alignment horizontal="right" indent="1"/>
    </xf>
    <xf numFmtId="0" fontId="9" fillId="0" borderId="9" xfId="0" applyFont="1" applyBorder="1" applyAlignment="1">
      <alignment horizontal="right" indent="1"/>
    </xf>
    <xf numFmtId="0" fontId="9" fillId="0" borderId="2" xfId="0" applyFont="1" applyBorder="1" applyAlignment="1">
      <alignment horizontal="right" indent="1"/>
    </xf>
    <xf numFmtId="0" fontId="9" fillId="0" borderId="3" xfId="44" applyFont="1" applyBorder="1" applyAlignment="1">
      <alignment horizontal="center" vertical="center" wrapText="1"/>
    </xf>
    <xf numFmtId="0" fontId="9" fillId="0" borderId="5" xfId="44" applyFont="1" applyBorder="1" applyAlignment="1">
      <alignment horizontal="center" vertical="center" wrapText="1"/>
    </xf>
    <xf numFmtId="0" fontId="9" fillId="0" borderId="2" xfId="0" applyFont="1" applyBorder="1" applyAlignment="1">
      <alignment horizontal="center"/>
    </xf>
    <xf numFmtId="0" fontId="12" fillId="0" borderId="47" xfId="0" applyFont="1" applyBorder="1" applyAlignment="1">
      <alignment horizontal="right" vertical="center"/>
    </xf>
    <xf numFmtId="0" fontId="12" fillId="0" borderId="13" xfId="0" applyFont="1" applyBorder="1" applyAlignment="1">
      <alignment horizontal="right" vertical="center"/>
    </xf>
    <xf numFmtId="0" fontId="12" fillId="0" borderId="48" xfId="0" applyFont="1" applyBorder="1" applyAlignment="1">
      <alignment horizontal="right" vertical="center"/>
    </xf>
    <xf numFmtId="0" fontId="23" fillId="0" borderId="16" xfId="0" applyFont="1" applyBorder="1" applyAlignment="1">
      <alignment horizontal="center" vertical="center"/>
    </xf>
    <xf numFmtId="0" fontId="23" fillId="0" borderId="2" xfId="0" applyFont="1" applyBorder="1" applyAlignment="1">
      <alignment horizontal="center" vertical="center" wrapText="1"/>
    </xf>
    <xf numFmtId="0" fontId="113" fillId="5" borderId="2" xfId="0" applyFont="1" applyFill="1" applyBorder="1" applyAlignment="1">
      <alignment horizontal="center" vertical="center" wrapText="1"/>
    </xf>
    <xf numFmtId="0" fontId="112" fillId="5" borderId="2" xfId="0" applyFont="1" applyFill="1" applyBorder="1" applyAlignment="1">
      <alignment horizontal="center" vertical="center" wrapText="1"/>
    </xf>
    <xf numFmtId="0" fontId="112" fillId="5" borderId="0" xfId="0" applyFont="1" applyFill="1" applyAlignment="1">
      <alignment horizontal="center" vertical="center" wrapText="1"/>
    </xf>
    <xf numFmtId="0" fontId="113" fillId="7" borderId="2" xfId="0" applyFont="1" applyFill="1" applyBorder="1" applyAlignment="1">
      <alignment horizontal="left" vertical="center" wrapText="1"/>
    </xf>
    <xf numFmtId="0" fontId="0" fillId="5" borderId="11" xfId="48" quotePrefix="1" applyFont="1" applyFill="1" applyBorder="1" applyAlignment="1">
      <alignment horizontal="left" vertical="top" wrapText="1"/>
    </xf>
    <xf numFmtId="0" fontId="0" fillId="5" borderId="14" xfId="48" quotePrefix="1" applyFont="1" applyFill="1" applyBorder="1" applyAlignment="1">
      <alignment horizontal="left" vertical="top" wrapText="1"/>
    </xf>
    <xf numFmtId="0" fontId="0" fillId="0" borderId="0" xfId="0" applyAlignment="1">
      <alignment horizontal="left" vertical="top" wrapText="1"/>
    </xf>
    <xf numFmtId="0" fontId="116" fillId="3" borderId="7" xfId="0" applyFont="1" applyFill="1" applyBorder="1" applyAlignment="1">
      <alignment horizontal="center" vertical="center" wrapText="1"/>
    </xf>
    <xf numFmtId="0" fontId="116" fillId="3" borderId="8" xfId="0" applyFont="1" applyFill="1" applyBorder="1" applyAlignment="1">
      <alignment horizontal="center" vertical="center" wrapText="1"/>
    </xf>
    <xf numFmtId="0" fontId="116" fillId="3" borderId="9" xfId="0" applyFont="1" applyFill="1" applyBorder="1" applyAlignment="1">
      <alignment horizontal="center" vertical="center" wrapText="1"/>
    </xf>
    <xf numFmtId="0" fontId="112" fillId="0" borderId="0" xfId="0" applyFont="1" applyAlignment="1">
      <alignment horizontal="center" vertical="center" wrapText="1"/>
    </xf>
    <xf numFmtId="0" fontId="118" fillId="5" borderId="0" xfId="5" applyFont="1" applyFill="1" applyBorder="1" applyAlignment="1" applyProtection="1">
      <alignment horizontal="center" vertical="center" wrapText="1"/>
    </xf>
    <xf numFmtId="0" fontId="113" fillId="3" borderId="7" xfId="0" applyFont="1" applyFill="1" applyBorder="1" applyAlignment="1">
      <alignment horizontal="center" vertical="center" wrapText="1"/>
    </xf>
    <xf numFmtId="0" fontId="113" fillId="3" borderId="8" xfId="0" applyFont="1" applyFill="1" applyBorder="1" applyAlignment="1">
      <alignment horizontal="center" vertical="center" wrapText="1"/>
    </xf>
    <xf numFmtId="0" fontId="113" fillId="3" borderId="9" xfId="0" applyFont="1" applyFill="1" applyBorder="1" applyAlignment="1">
      <alignment horizontal="center" vertical="center" wrapText="1"/>
    </xf>
    <xf numFmtId="0" fontId="3" fillId="5" borderId="0" xfId="35" applyFont="1" applyFill="1" applyAlignment="1">
      <alignment horizontal="center" vertical="center" wrapText="1"/>
    </xf>
    <xf numFmtId="0" fontId="113" fillId="3" borderId="2" xfId="35" applyFont="1" applyFill="1" applyBorder="1" applyAlignment="1">
      <alignment horizontal="center" vertical="center" wrapText="1"/>
    </xf>
    <xf numFmtId="0" fontId="113" fillId="5" borderId="0" xfId="35" applyFont="1" applyFill="1" applyAlignment="1">
      <alignment horizontal="center" vertical="center" wrapText="1"/>
    </xf>
    <xf numFmtId="0" fontId="5" fillId="5" borderId="0" xfId="50" applyFill="1" applyBorder="1" applyAlignment="1" applyProtection="1">
      <alignment horizontal="right" vertical="center" wrapText="1"/>
    </xf>
    <xf numFmtId="0" fontId="63" fillId="5" borderId="0" xfId="0" applyFont="1" applyFill="1" applyAlignment="1">
      <alignment horizontal="center"/>
    </xf>
    <xf numFmtId="0" fontId="113" fillId="5" borderId="7" xfId="0" applyFont="1" applyFill="1" applyBorder="1" applyAlignment="1">
      <alignment horizontal="center" vertical="center" wrapText="1"/>
    </xf>
    <xf numFmtId="0" fontId="113" fillId="5" borderId="8" xfId="0" applyFont="1" applyFill="1" applyBorder="1" applyAlignment="1">
      <alignment horizontal="center" vertical="center" wrapText="1"/>
    </xf>
    <xf numFmtId="0" fontId="113" fillId="5" borderId="9" xfId="0" applyFont="1" applyFill="1" applyBorder="1" applyAlignment="1">
      <alignment horizontal="center" vertical="center" wrapText="1"/>
    </xf>
    <xf numFmtId="0" fontId="113" fillId="5" borderId="0" xfId="0" applyFont="1" applyFill="1" applyAlignment="1">
      <alignment horizontal="right" wrapText="1"/>
    </xf>
    <xf numFmtId="0" fontId="63" fillId="5" borderId="7" xfId="0" applyFont="1" applyFill="1" applyBorder="1" applyAlignment="1">
      <alignment horizontal="left" vertical="top" wrapText="1"/>
    </xf>
    <xf numFmtId="0" fontId="63" fillId="5" borderId="8" xfId="0" applyFont="1" applyFill="1" applyBorder="1" applyAlignment="1">
      <alignment horizontal="left" vertical="top" wrapText="1"/>
    </xf>
    <xf numFmtId="0" fontId="63" fillId="5" borderId="9" xfId="0" applyFont="1" applyFill="1" applyBorder="1" applyAlignment="1">
      <alignment horizontal="left" vertical="top" wrapText="1"/>
    </xf>
    <xf numFmtId="0" fontId="113" fillId="5" borderId="3" xfId="0" applyFont="1" applyFill="1" applyBorder="1" applyAlignment="1">
      <alignment horizontal="center" vertical="center" wrapText="1"/>
    </xf>
    <xf numFmtId="0" fontId="113" fillId="5" borderId="6" xfId="0" applyFont="1" applyFill="1" applyBorder="1" applyAlignment="1">
      <alignment horizontal="center" vertical="center" wrapText="1"/>
    </xf>
    <xf numFmtId="0" fontId="113" fillId="5" borderId="5" xfId="0" applyFont="1" applyFill="1" applyBorder="1" applyAlignment="1">
      <alignment horizontal="center" vertical="center" wrapText="1"/>
    </xf>
    <xf numFmtId="0" fontId="113" fillId="5" borderId="41" xfId="0" applyFont="1" applyFill="1" applyBorder="1" applyAlignment="1">
      <alignment horizontal="center" vertical="center" wrapText="1"/>
    </xf>
    <xf numFmtId="0" fontId="113" fillId="5" borderId="42" xfId="0" applyFont="1" applyFill="1" applyBorder="1" applyAlignment="1">
      <alignment horizontal="center" vertical="center" wrapText="1"/>
    </xf>
    <xf numFmtId="0" fontId="113" fillId="5" borderId="43" xfId="0" applyFont="1" applyFill="1" applyBorder="1" applyAlignment="1">
      <alignment horizontal="center" vertical="center" wrapText="1"/>
    </xf>
    <xf numFmtId="0" fontId="113" fillId="5" borderId="0" xfId="0" applyFont="1" applyFill="1" applyAlignment="1">
      <alignment horizontal="center" vertical="center"/>
    </xf>
    <xf numFmtId="0" fontId="113" fillId="0" borderId="62" xfId="0" applyFont="1" applyBorder="1" applyAlignment="1">
      <alignment horizontal="right" vertical="center"/>
    </xf>
    <xf numFmtId="0" fontId="113" fillId="5" borderId="2" xfId="73" applyFont="1" applyFill="1" applyBorder="1" applyAlignment="1">
      <alignment horizontal="center" vertical="center" wrapText="1"/>
    </xf>
    <xf numFmtId="0" fontId="3" fillId="5" borderId="7" xfId="0" applyFont="1" applyFill="1" applyBorder="1" applyAlignment="1">
      <alignment horizontal="center" vertical="center" wrapText="1"/>
    </xf>
    <xf numFmtId="0" fontId="3" fillId="5" borderId="8" xfId="0" applyFont="1" applyFill="1" applyBorder="1" applyAlignment="1">
      <alignment horizontal="center" vertical="center" wrapText="1"/>
    </xf>
    <xf numFmtId="0" fontId="3" fillId="5" borderId="9" xfId="0" applyFont="1" applyFill="1" applyBorder="1" applyAlignment="1">
      <alignment horizontal="center" vertical="center" wrapText="1"/>
    </xf>
    <xf numFmtId="0" fontId="113" fillId="5" borderId="0" xfId="0" applyFont="1" applyFill="1" applyAlignment="1">
      <alignment horizontal="right" vertical="center" wrapText="1"/>
    </xf>
    <xf numFmtId="0" fontId="0" fillId="5" borderId="0" xfId="0" applyFill="1" applyAlignment="1">
      <alignment horizontal="left" vertical="center" wrapText="1"/>
    </xf>
    <xf numFmtId="0" fontId="113" fillId="0" borderId="0" xfId="0" applyFont="1" applyAlignment="1">
      <alignment horizontal="right" vertical="center" indent="1"/>
    </xf>
    <xf numFmtId="0" fontId="63" fillId="5" borderId="0" xfId="0" applyFont="1" applyFill="1" applyAlignment="1">
      <alignment horizontal="left" vertical="center" wrapText="1"/>
    </xf>
    <xf numFmtId="0" fontId="113" fillId="5" borderId="0" xfId="31" applyFont="1" applyFill="1" applyAlignment="1">
      <alignment horizontal="right" vertical="center"/>
    </xf>
    <xf numFmtId="0" fontId="113" fillId="3" borderId="7" xfId="31" applyFont="1" applyFill="1" applyBorder="1" applyAlignment="1">
      <alignment horizontal="center" wrapText="1"/>
    </xf>
    <xf numFmtId="0" fontId="113" fillId="3" borderId="8" xfId="31" applyFont="1" applyFill="1" applyBorder="1" applyAlignment="1">
      <alignment horizontal="center" wrapText="1"/>
    </xf>
    <xf numFmtId="0" fontId="113" fillId="3" borderId="9" xfId="31" applyFont="1" applyFill="1" applyBorder="1" applyAlignment="1">
      <alignment horizontal="center" wrapText="1"/>
    </xf>
    <xf numFmtId="0" fontId="113" fillId="0" borderId="0" xfId="31" applyFont="1" applyAlignment="1">
      <alignment horizontal="right" vertical="center"/>
    </xf>
    <xf numFmtId="0" fontId="63" fillId="5" borderId="7" xfId="31" applyFont="1" applyFill="1" applyBorder="1" applyAlignment="1">
      <alignment horizontal="left" vertical="top" wrapText="1"/>
    </xf>
    <xf numFmtId="0" fontId="63" fillId="5" borderId="8" xfId="31" applyFont="1" applyFill="1" applyBorder="1" applyAlignment="1">
      <alignment horizontal="left" vertical="top" wrapText="1"/>
    </xf>
    <xf numFmtId="0" fontId="63" fillId="5" borderId="9" xfId="31" applyFont="1" applyFill="1" applyBorder="1" applyAlignment="1">
      <alignment horizontal="left" vertical="top" wrapText="1"/>
    </xf>
    <xf numFmtId="0" fontId="63" fillId="5" borderId="7" xfId="31" applyFont="1" applyFill="1" applyBorder="1" applyAlignment="1">
      <alignment horizontal="left" vertical="center" wrapText="1"/>
    </xf>
    <xf numFmtId="0" fontId="63" fillId="5" borderId="8" xfId="31" applyFont="1" applyFill="1" applyBorder="1" applyAlignment="1">
      <alignment horizontal="left" vertical="center" wrapText="1"/>
    </xf>
    <xf numFmtId="0" fontId="63" fillId="5" borderId="9" xfId="31" applyFont="1" applyFill="1" applyBorder="1" applyAlignment="1">
      <alignment horizontal="left" vertical="center" wrapText="1"/>
    </xf>
    <xf numFmtId="0" fontId="113" fillId="5" borderId="7" xfId="31" applyFont="1" applyFill="1" applyBorder="1" applyAlignment="1">
      <alignment horizontal="center" wrapText="1"/>
    </xf>
    <xf numFmtId="0" fontId="113" fillId="5" borderId="8" xfId="31" applyFont="1" applyFill="1" applyBorder="1" applyAlignment="1">
      <alignment horizontal="center" wrapText="1"/>
    </xf>
    <xf numFmtId="0" fontId="113" fillId="5" borderId="9" xfId="31" applyFont="1" applyFill="1" applyBorder="1" applyAlignment="1">
      <alignment horizontal="center" wrapText="1"/>
    </xf>
    <xf numFmtId="0" fontId="113" fillId="5" borderId="2" xfId="31" applyFont="1" applyFill="1" applyBorder="1" applyAlignment="1">
      <alignment horizontal="center" vertical="center" wrapText="1"/>
    </xf>
    <xf numFmtId="0" fontId="113" fillId="5" borderId="7" xfId="31" applyFont="1" applyFill="1" applyBorder="1" applyAlignment="1">
      <alignment horizontal="center" vertical="center" wrapText="1"/>
    </xf>
    <xf numFmtId="0" fontId="113" fillId="5" borderId="9" xfId="31" applyFont="1" applyFill="1" applyBorder="1" applyAlignment="1">
      <alignment horizontal="center" vertical="center" wrapText="1"/>
    </xf>
    <xf numFmtId="165" fontId="63" fillId="5" borderId="7" xfId="63" applyFont="1" applyFill="1" applyBorder="1" applyAlignment="1">
      <alignment vertical="center" wrapText="1"/>
    </xf>
    <xf numFmtId="165" fontId="63" fillId="5" borderId="9" xfId="63" applyFont="1" applyFill="1" applyBorder="1" applyAlignment="1">
      <alignment vertical="center" wrapText="1"/>
    </xf>
    <xf numFmtId="165" fontId="63" fillId="5" borderId="2" xfId="63" applyFont="1" applyFill="1" applyBorder="1" applyAlignment="1">
      <alignment vertical="center" wrapText="1"/>
    </xf>
    <xf numFmtId="0" fontId="164" fillId="5" borderId="7" xfId="0" applyFont="1" applyFill="1" applyBorder="1" applyAlignment="1">
      <alignment horizontal="left" vertical="top" wrapText="1"/>
    </xf>
    <xf numFmtId="0" fontId="164" fillId="5" borderId="8" xfId="0" applyFont="1" applyFill="1" applyBorder="1" applyAlignment="1">
      <alignment horizontal="left" vertical="top" wrapText="1"/>
    </xf>
    <xf numFmtId="0" fontId="164" fillId="5" borderId="9" xfId="0" applyFont="1" applyFill="1" applyBorder="1" applyAlignment="1">
      <alignment horizontal="left" vertical="top" wrapText="1"/>
    </xf>
    <xf numFmtId="0" fontId="63" fillId="5" borderId="2" xfId="0" applyFont="1" applyFill="1" applyBorder="1" applyAlignment="1">
      <alignment horizontal="left" wrapText="1"/>
    </xf>
    <xf numFmtId="0" fontId="164" fillId="5" borderId="2" xfId="0" applyFont="1" applyFill="1" applyBorder="1" applyAlignment="1">
      <alignment horizontal="left" vertical="top"/>
    </xf>
    <xf numFmtId="0" fontId="113" fillId="12" borderId="7" xfId="0" applyFont="1" applyFill="1" applyBorder="1" applyAlignment="1">
      <alignment horizontal="center" vertical="center" wrapText="1"/>
    </xf>
    <xf numFmtId="0" fontId="113" fillId="12" borderId="8" xfId="0" applyFont="1" applyFill="1" applyBorder="1" applyAlignment="1">
      <alignment horizontal="center" vertical="center" wrapText="1"/>
    </xf>
    <xf numFmtId="0" fontId="113" fillId="12" borderId="9" xfId="0" applyFont="1" applyFill="1" applyBorder="1" applyAlignment="1">
      <alignment horizontal="center" vertical="center" wrapText="1"/>
    </xf>
    <xf numFmtId="0" fontId="113" fillId="12" borderId="7" xfId="0" applyFont="1" applyFill="1" applyBorder="1" applyAlignment="1">
      <alignment horizontal="center" wrapText="1"/>
    </xf>
    <xf numFmtId="0" fontId="113" fillId="12" borderId="8" xfId="0" applyFont="1" applyFill="1" applyBorder="1" applyAlignment="1">
      <alignment horizontal="center" wrapText="1"/>
    </xf>
    <xf numFmtId="0" fontId="113" fillId="12" borderId="9" xfId="0" applyFont="1" applyFill="1" applyBorder="1" applyAlignment="1">
      <alignment horizontal="center" wrapText="1"/>
    </xf>
    <xf numFmtId="0" fontId="113" fillId="5" borderId="0" xfId="0" applyFont="1" applyFill="1" applyAlignment="1">
      <alignment horizontal="center" wrapText="1"/>
    </xf>
    <xf numFmtId="0" fontId="113" fillId="5" borderId="2" xfId="0" applyFont="1" applyFill="1" applyBorder="1" applyAlignment="1">
      <alignment horizontal="left" vertical="center" wrapText="1"/>
    </xf>
    <xf numFmtId="0" fontId="113" fillId="5" borderId="2" xfId="0" applyFont="1" applyFill="1" applyBorder="1" applyAlignment="1">
      <alignment horizontal="center" vertical="center"/>
    </xf>
    <xf numFmtId="0" fontId="113" fillId="5" borderId="2" xfId="52" applyFont="1" applyFill="1" applyBorder="1" applyAlignment="1">
      <alignment horizontal="center" vertical="center"/>
    </xf>
    <xf numFmtId="0" fontId="63" fillId="5" borderId="2" xfId="0" applyFont="1" applyFill="1" applyBorder="1" applyAlignment="1">
      <alignment horizontal="left" indent="1"/>
    </xf>
    <xf numFmtId="0" fontId="63" fillId="5" borderId="2" xfId="0" applyFont="1" applyFill="1" applyBorder="1" applyAlignment="1">
      <alignment horizontal="left"/>
    </xf>
    <xf numFmtId="0" fontId="113" fillId="5" borderId="0" xfId="0" applyFont="1" applyFill="1" applyAlignment="1">
      <alignment horizontal="center" vertical="center" wrapText="1"/>
    </xf>
    <xf numFmtId="0" fontId="113" fillId="5" borderId="39" xfId="0" applyFont="1" applyFill="1" applyBorder="1" applyAlignment="1">
      <alignment horizontal="left" indent="1"/>
    </xf>
    <xf numFmtId="0" fontId="113" fillId="5" borderId="39" xfId="0" applyFont="1" applyFill="1" applyBorder="1" applyAlignment="1">
      <alignment horizontal="left"/>
    </xf>
    <xf numFmtId="0" fontId="63" fillId="5" borderId="5" xfId="0" applyFont="1" applyFill="1" applyBorder="1" applyAlignment="1">
      <alignment horizontal="left" indent="1"/>
    </xf>
    <xf numFmtId="0" fontId="63" fillId="5" borderId="5" xfId="0" applyFont="1" applyFill="1" applyBorder="1" applyAlignment="1">
      <alignment horizontal="left"/>
    </xf>
    <xf numFmtId="0" fontId="216" fillId="12" borderId="7" xfId="37" applyFont="1" applyFill="1" applyBorder="1" applyAlignment="1">
      <alignment horizontal="center" vertical="center" wrapText="1"/>
    </xf>
    <xf numFmtId="0" fontId="216" fillId="12" borderId="8" xfId="37" applyFont="1" applyFill="1" applyBorder="1" applyAlignment="1">
      <alignment horizontal="center" vertical="center" wrapText="1"/>
    </xf>
    <xf numFmtId="0" fontId="216" fillId="12" borderId="9" xfId="37" applyFont="1" applyFill="1" applyBorder="1" applyAlignment="1">
      <alignment horizontal="center" vertical="center" wrapText="1"/>
    </xf>
    <xf numFmtId="0" fontId="3" fillId="3" borderId="7" xfId="0" applyFont="1" applyFill="1" applyBorder="1" applyAlignment="1">
      <alignment horizontal="center" vertical="center" wrapText="1"/>
    </xf>
    <xf numFmtId="0" fontId="3" fillId="3" borderId="8" xfId="0" applyFont="1" applyFill="1" applyBorder="1" applyAlignment="1">
      <alignment horizontal="center" vertical="center" wrapText="1"/>
    </xf>
    <xf numFmtId="0" fontId="3" fillId="3" borderId="9" xfId="0" applyFont="1" applyFill="1" applyBorder="1" applyAlignment="1">
      <alignment horizontal="center" vertical="center" wrapText="1"/>
    </xf>
    <xf numFmtId="0" fontId="3" fillId="0" borderId="0" xfId="0" applyFont="1" applyAlignment="1">
      <alignment horizontal="center" vertical="center" wrapText="1"/>
    </xf>
    <xf numFmtId="0" fontId="113" fillId="5" borderId="39" xfId="0" applyFont="1" applyFill="1" applyBorder="1" applyAlignment="1">
      <alignment horizontal="center" vertical="center" wrapText="1"/>
    </xf>
    <xf numFmtId="0" fontId="113" fillId="5" borderId="5" xfId="0" applyFont="1" applyFill="1" applyBorder="1" applyAlignment="1">
      <alignment vertical="center" wrapText="1"/>
    </xf>
    <xf numFmtId="0" fontId="113" fillId="5" borderId="2" xfId="0" applyFont="1" applyFill="1" applyBorder="1" applyAlignment="1">
      <alignment vertical="center" wrapText="1"/>
    </xf>
    <xf numFmtId="0" fontId="3" fillId="0" borderId="62" xfId="0" applyFont="1" applyBorder="1" applyAlignment="1">
      <alignment horizontal="center" vertical="center" wrapText="1"/>
    </xf>
    <xf numFmtId="0" fontId="113" fillId="5" borderId="84" xfId="0" applyFont="1" applyFill="1" applyBorder="1" applyAlignment="1">
      <alignment horizontal="center" vertical="center" wrapText="1"/>
    </xf>
    <xf numFmtId="0" fontId="113" fillId="5" borderId="85" xfId="0" applyFont="1" applyFill="1" applyBorder="1" applyAlignment="1">
      <alignment horizontal="center" vertical="center" wrapText="1"/>
    </xf>
    <xf numFmtId="0" fontId="113" fillId="5" borderId="3" xfId="0" applyFont="1" applyFill="1" applyBorder="1" applyAlignment="1">
      <alignment horizontal="left" vertical="center" wrapText="1"/>
    </xf>
    <xf numFmtId="0" fontId="113" fillId="5" borderId="5" xfId="0" applyFont="1" applyFill="1" applyBorder="1" applyAlignment="1">
      <alignment horizontal="left" vertical="center" wrapText="1"/>
    </xf>
    <xf numFmtId="0" fontId="0" fillId="5" borderId="0" xfId="37" quotePrefix="1" applyFont="1" applyFill="1" applyAlignment="1">
      <alignment horizontal="justify" vertical="center"/>
    </xf>
    <xf numFmtId="0" fontId="0" fillId="5" borderId="0" xfId="37" applyFont="1" applyFill="1" applyAlignment="1">
      <alignment horizontal="justify" vertical="top"/>
    </xf>
    <xf numFmtId="0" fontId="63" fillId="0" borderId="7" xfId="0" applyFont="1" applyBorder="1" applyAlignment="1">
      <alignment horizontal="left" vertical="center" wrapText="1"/>
    </xf>
    <xf numFmtId="0" fontId="63" fillId="0" borderId="9" xfId="0" applyFont="1" applyBorder="1" applyAlignment="1">
      <alignment horizontal="left" vertical="center" wrapText="1"/>
    </xf>
    <xf numFmtId="0" fontId="113" fillId="12" borderId="7" xfId="31" applyFont="1" applyFill="1" applyBorder="1" applyAlignment="1">
      <alignment horizontal="center" vertical="center" wrapText="1"/>
    </xf>
    <xf numFmtId="0" fontId="113" fillId="12" borderId="8" xfId="31" applyFont="1" applyFill="1" applyBorder="1" applyAlignment="1">
      <alignment horizontal="center" vertical="center" wrapText="1"/>
    </xf>
    <xf numFmtId="0" fontId="113" fillId="12" borderId="9" xfId="31" applyFont="1" applyFill="1" applyBorder="1" applyAlignment="1">
      <alignment horizontal="center" vertical="center" wrapText="1"/>
    </xf>
    <xf numFmtId="0" fontId="113" fillId="5" borderId="74" xfId="0" applyFont="1" applyFill="1" applyBorder="1" applyAlignment="1">
      <alignment horizontal="center" vertical="center" wrapText="1"/>
    </xf>
    <xf numFmtId="0" fontId="113" fillId="5" borderId="75" xfId="0" applyFont="1" applyFill="1" applyBorder="1" applyAlignment="1">
      <alignment horizontal="center" vertical="center" wrapText="1"/>
    </xf>
    <xf numFmtId="0" fontId="63" fillId="0" borderId="11" xfId="0" applyFont="1" applyBorder="1" applyAlignment="1">
      <alignment horizontal="left" vertical="center" wrapText="1"/>
    </xf>
    <xf numFmtId="0" fontId="63" fillId="0" borderId="14" xfId="0" applyFont="1" applyBorder="1" applyAlignment="1">
      <alignment horizontal="left" vertical="center" wrapText="1"/>
    </xf>
    <xf numFmtId="9" fontId="63" fillId="0" borderId="6" xfId="0" applyNumberFormat="1" applyFont="1" applyBorder="1" applyAlignment="1">
      <alignment horizontal="center" vertical="center" wrapText="1"/>
    </xf>
    <xf numFmtId="9" fontId="63" fillId="0" borderId="5" xfId="0" applyNumberFormat="1" applyFont="1" applyBorder="1" applyAlignment="1">
      <alignment horizontal="center" vertical="center" wrapText="1"/>
    </xf>
    <xf numFmtId="0" fontId="63" fillId="5" borderId="7" xfId="0" applyFont="1" applyFill="1" applyBorder="1" applyAlignment="1">
      <alignment horizontal="left" vertical="center" wrapText="1"/>
    </xf>
    <xf numFmtId="0" fontId="63" fillId="5" borderId="9" xfId="0" applyFont="1" applyFill="1" applyBorder="1" applyAlignment="1">
      <alignment horizontal="left" vertical="center" wrapText="1"/>
    </xf>
    <xf numFmtId="0" fontId="63" fillId="0" borderId="2" xfId="0" applyFont="1" applyBorder="1" applyAlignment="1">
      <alignment horizontal="left" vertical="center" wrapText="1"/>
    </xf>
    <xf numFmtId="0" fontId="113" fillId="5" borderId="0" xfId="0" applyFont="1" applyFill="1" applyAlignment="1">
      <alignment horizontal="left"/>
    </xf>
    <xf numFmtId="0" fontId="113" fillId="5" borderId="2" xfId="55" applyFont="1" applyFill="1" applyBorder="1" applyAlignment="1">
      <alignment horizontal="left" vertical="center" wrapText="1"/>
    </xf>
    <xf numFmtId="0" fontId="113" fillId="3" borderId="7" xfId="53" applyFont="1" applyFill="1" applyBorder="1" applyAlignment="1">
      <alignment horizontal="center" vertical="center"/>
    </xf>
    <xf numFmtId="0" fontId="113" fillId="3" borderId="8" xfId="53" applyFont="1" applyFill="1" applyBorder="1" applyAlignment="1">
      <alignment horizontal="center" vertical="center"/>
    </xf>
    <xf numFmtId="0" fontId="113" fillId="3" borderId="9" xfId="53" applyFont="1" applyFill="1" applyBorder="1" applyAlignment="1">
      <alignment horizontal="center" vertical="center"/>
    </xf>
    <xf numFmtId="0" fontId="113" fillId="0" borderId="13" xfId="54" applyFont="1" applyBorder="1" applyAlignment="1">
      <alignment horizontal="right" vertical="center" wrapText="1"/>
    </xf>
    <xf numFmtId="0" fontId="113" fillId="6" borderId="71" xfId="55" applyFont="1" applyFill="1" applyBorder="1" applyAlignment="1">
      <alignment horizontal="left" vertical="center" wrapText="1"/>
    </xf>
    <xf numFmtId="0" fontId="113" fillId="6" borderId="63" xfId="55" applyFont="1" applyFill="1" applyBorder="1" applyAlignment="1">
      <alignment horizontal="left" vertical="center" wrapText="1"/>
    </xf>
    <xf numFmtId="0" fontId="113" fillId="10" borderId="2" xfId="55" applyFont="1" applyFill="1" applyBorder="1" applyAlignment="1">
      <alignment horizontal="left" vertical="center"/>
    </xf>
    <xf numFmtId="0" fontId="113" fillId="10" borderId="2" xfId="55" applyFont="1" applyFill="1" applyBorder="1" applyAlignment="1">
      <alignment horizontal="left" vertical="center" wrapText="1"/>
    </xf>
    <xf numFmtId="0" fontId="113" fillId="5" borderId="7" xfId="55" applyFont="1" applyFill="1" applyBorder="1" applyAlignment="1">
      <alignment horizontal="left" vertical="center" wrapText="1"/>
    </xf>
    <xf numFmtId="0" fontId="113" fillId="5" borderId="8" xfId="55" applyFont="1" applyFill="1" applyBorder="1" applyAlignment="1">
      <alignment horizontal="left" vertical="center" wrapText="1"/>
    </xf>
    <xf numFmtId="168" fontId="113" fillId="5" borderId="8" xfId="55" applyNumberFormat="1" applyFont="1" applyFill="1" applyBorder="1" applyAlignment="1">
      <alignment horizontal="right" vertical="center" wrapText="1"/>
    </xf>
    <xf numFmtId="168" fontId="113" fillId="5" borderId="9" xfId="55" applyNumberFormat="1" applyFont="1" applyFill="1" applyBorder="1" applyAlignment="1">
      <alignment horizontal="right" vertical="center" wrapText="1"/>
    </xf>
    <xf numFmtId="0" fontId="113" fillId="5" borderId="9" xfId="55" applyFont="1" applyFill="1" applyBorder="1" applyAlignment="1">
      <alignment horizontal="left" vertical="center" wrapText="1"/>
    </xf>
    <xf numFmtId="0" fontId="113" fillId="5" borderId="7" xfId="55" applyFont="1" applyFill="1" applyBorder="1" applyAlignment="1">
      <alignment horizontal="left" vertical="center"/>
    </xf>
    <xf numFmtId="0" fontId="113" fillId="5" borderId="8" xfId="55" applyFont="1" applyFill="1" applyBorder="1" applyAlignment="1">
      <alignment horizontal="left" vertical="center"/>
    </xf>
    <xf numFmtId="168" fontId="113" fillId="5" borderId="8" xfId="55" applyNumberFormat="1" applyFont="1" applyFill="1" applyBorder="1" applyAlignment="1">
      <alignment horizontal="right" vertical="center"/>
    </xf>
    <xf numFmtId="168" fontId="113" fillId="5" borderId="9" xfId="55" applyNumberFormat="1" applyFont="1" applyFill="1" applyBorder="1" applyAlignment="1">
      <alignment horizontal="right" vertical="center"/>
    </xf>
    <xf numFmtId="0" fontId="113" fillId="5" borderId="39" xfId="55" applyFont="1" applyFill="1" applyBorder="1" applyAlignment="1">
      <alignment horizontal="left" vertical="center" wrapText="1"/>
    </xf>
    <xf numFmtId="168" fontId="113" fillId="5" borderId="39" xfId="55" applyNumberFormat="1" applyFont="1" applyFill="1" applyBorder="1" applyAlignment="1">
      <alignment horizontal="right" vertical="center" wrapText="1"/>
    </xf>
    <xf numFmtId="168" fontId="113" fillId="5" borderId="41" xfId="55" applyNumberFormat="1" applyFont="1" applyFill="1" applyBorder="1" applyAlignment="1">
      <alignment horizontal="right" vertical="center" wrapText="1"/>
    </xf>
    <xf numFmtId="168" fontId="113" fillId="5" borderId="72" xfId="55" applyNumberFormat="1" applyFont="1" applyFill="1" applyBorder="1" applyAlignment="1">
      <alignment horizontal="right" vertical="center" wrapText="1"/>
    </xf>
    <xf numFmtId="0" fontId="113" fillId="3" borderId="7" xfId="56" applyFont="1" applyFill="1" applyBorder="1" applyAlignment="1">
      <alignment horizontal="center" vertical="center" wrapText="1"/>
    </xf>
    <xf numFmtId="0" fontId="113" fillId="3" borderId="8" xfId="56" applyFont="1" applyFill="1" applyBorder="1" applyAlignment="1">
      <alignment horizontal="center" vertical="center" wrapText="1"/>
    </xf>
    <xf numFmtId="0" fontId="113" fillId="3" borderId="9" xfId="56" applyFont="1" applyFill="1" applyBorder="1" applyAlignment="1">
      <alignment horizontal="center" vertical="center" wrapText="1"/>
    </xf>
    <xf numFmtId="0" fontId="113" fillId="0" borderId="0" xfId="57" applyFont="1" applyAlignment="1">
      <alignment horizontal="right" vertical="center"/>
    </xf>
    <xf numFmtId="2" fontId="113" fillId="5" borderId="2" xfId="57" applyNumberFormat="1" applyFont="1" applyFill="1" applyBorder="1" applyAlignment="1">
      <alignment horizontal="left" vertical="center"/>
    </xf>
    <xf numFmtId="2" fontId="113" fillId="5" borderId="7" xfId="58" applyNumberFormat="1" applyFont="1" applyFill="1" applyBorder="1" applyAlignment="1">
      <alignment horizontal="center" vertical="center"/>
    </xf>
    <xf numFmtId="2" fontId="113" fillId="5" borderId="8" xfId="58" applyNumberFormat="1" applyFont="1" applyFill="1" applyBorder="1" applyAlignment="1">
      <alignment horizontal="center" vertical="center"/>
    </xf>
    <xf numFmtId="2" fontId="113" fillId="5" borderId="9" xfId="58" applyNumberFormat="1" applyFont="1" applyFill="1" applyBorder="1" applyAlignment="1">
      <alignment horizontal="center" vertical="center"/>
    </xf>
    <xf numFmtId="0" fontId="63" fillId="5" borderId="10" xfId="59" applyFont="1" applyFill="1" applyBorder="1" applyAlignment="1">
      <alignment horizontal="left" vertical="top" wrapText="1"/>
    </xf>
    <xf numFmtId="0" fontId="63" fillId="5" borderId="12" xfId="59" applyFont="1" applyFill="1" applyBorder="1" applyAlignment="1">
      <alignment horizontal="left" vertical="top" wrapText="1"/>
    </xf>
    <xf numFmtId="49" fontId="63" fillId="5" borderId="1" xfId="25" applyNumberFormat="1" applyFont="1" applyFill="1" applyBorder="1" applyAlignment="1">
      <alignment horizontal="left" vertical="top" wrapText="1"/>
    </xf>
    <xf numFmtId="49" fontId="63" fillId="5" borderId="0" xfId="25" applyNumberFormat="1" applyFont="1" applyFill="1" applyAlignment="1">
      <alignment horizontal="left" vertical="top" wrapText="1"/>
    </xf>
    <xf numFmtId="49" fontId="63" fillId="5" borderId="15" xfId="25" applyNumberFormat="1" applyFont="1" applyFill="1" applyBorder="1" applyAlignment="1">
      <alignment horizontal="left" vertical="top" wrapText="1"/>
    </xf>
    <xf numFmtId="0" fontId="63" fillId="5" borderId="11" xfId="59" applyFont="1" applyFill="1" applyBorder="1" applyAlignment="1">
      <alignment horizontal="left" vertical="top" wrapText="1"/>
    </xf>
    <xf numFmtId="0" fontId="63" fillId="5" borderId="13" xfId="59" applyFont="1" applyFill="1" applyBorder="1" applyAlignment="1">
      <alignment horizontal="left" vertical="top" wrapText="1"/>
    </xf>
    <xf numFmtId="0" fontId="63" fillId="5" borderId="14" xfId="59" applyFont="1" applyFill="1" applyBorder="1" applyAlignment="1">
      <alignment horizontal="left" vertical="top" wrapText="1"/>
    </xf>
    <xf numFmtId="2" fontId="113" fillId="3" borderId="7" xfId="58" applyNumberFormat="1" applyFont="1" applyFill="1" applyBorder="1" applyAlignment="1">
      <alignment horizontal="center" vertical="center"/>
    </xf>
    <xf numFmtId="2" fontId="113" fillId="3" borderId="8" xfId="58" applyNumberFormat="1" applyFont="1" applyFill="1" applyBorder="1" applyAlignment="1">
      <alignment horizontal="center" vertical="center"/>
    </xf>
    <xf numFmtId="2" fontId="113" fillId="3" borderId="9" xfId="58" applyNumberFormat="1" applyFont="1" applyFill="1" applyBorder="1" applyAlignment="1">
      <alignment horizontal="center" vertical="center"/>
    </xf>
    <xf numFmtId="0" fontId="113" fillId="0" borderId="0" xfId="58" applyFont="1" applyAlignment="1">
      <alignment horizontal="right" vertical="center"/>
    </xf>
    <xf numFmtId="2" fontId="113" fillId="10" borderId="7" xfId="58" applyNumberFormat="1" applyFont="1" applyFill="1" applyBorder="1" applyAlignment="1">
      <alignment horizontal="center" vertical="center"/>
    </xf>
    <xf numFmtId="2" fontId="113" fillId="10" borderId="8" xfId="58" applyNumberFormat="1" applyFont="1" applyFill="1" applyBorder="1" applyAlignment="1">
      <alignment horizontal="center" vertical="center"/>
    </xf>
    <xf numFmtId="2" fontId="113" fillId="10" borderId="9" xfId="58" applyNumberFormat="1" applyFont="1" applyFill="1" applyBorder="1" applyAlignment="1">
      <alignment horizontal="center" vertical="center"/>
    </xf>
    <xf numFmtId="2" fontId="113" fillId="5" borderId="39" xfId="58" applyNumberFormat="1" applyFont="1" applyFill="1" applyBorder="1" applyAlignment="1">
      <alignment horizontal="center" vertical="center"/>
    </xf>
    <xf numFmtId="0" fontId="113" fillId="0" borderId="2" xfId="59" applyFont="1" applyBorder="1" applyAlignment="1">
      <alignment horizontal="right" vertical="center" indent="1"/>
    </xf>
    <xf numFmtId="0" fontId="113" fillId="3" borderId="57" xfId="59" applyFont="1" applyFill="1" applyBorder="1" applyAlignment="1">
      <alignment horizontal="center" vertical="center"/>
    </xf>
    <xf numFmtId="0" fontId="113" fillId="3" borderId="58" xfId="59" applyFont="1" applyFill="1" applyBorder="1" applyAlignment="1">
      <alignment horizontal="center" vertical="center"/>
    </xf>
    <xf numFmtId="0" fontId="113" fillId="3" borderId="59" xfId="59" applyFont="1" applyFill="1" applyBorder="1" applyAlignment="1">
      <alignment horizontal="center" vertical="center"/>
    </xf>
    <xf numFmtId="0" fontId="113" fillId="0" borderId="13" xfId="59" applyFont="1" applyBorder="1" applyAlignment="1">
      <alignment horizontal="center" vertical="center"/>
    </xf>
    <xf numFmtId="0" fontId="54" fillId="10" borderId="2" xfId="59" applyFont="1" applyFill="1" applyBorder="1" applyAlignment="1">
      <alignment horizontal="center" vertical="center"/>
    </xf>
    <xf numFmtId="0" fontId="63" fillId="0" borderId="0" xfId="59" applyFont="1" applyAlignment="1">
      <alignment horizontal="center" vertical="center"/>
    </xf>
    <xf numFmtId="0" fontId="113" fillId="10" borderId="2" xfId="59" applyFont="1" applyFill="1" applyBorder="1" applyAlignment="1">
      <alignment horizontal="center" vertical="center"/>
    </xf>
    <xf numFmtId="0" fontId="54" fillId="12" borderId="2" xfId="59" applyFont="1" applyFill="1" applyBorder="1" applyAlignment="1">
      <alignment horizontal="center" vertical="center"/>
    </xf>
    <xf numFmtId="0" fontId="10" fillId="0" borderId="52" xfId="0" applyFont="1" applyBorder="1" applyAlignment="1">
      <alignment horizontal="left" vertical="center" wrapText="1"/>
    </xf>
    <xf numFmtId="0" fontId="10" fillId="0" borderId="53" xfId="0" applyFont="1" applyBorder="1" applyAlignment="1">
      <alignment horizontal="left" vertical="center" wrapText="1"/>
    </xf>
    <xf numFmtId="0" fontId="10" fillId="0" borderId="54" xfId="0" applyFont="1" applyBorder="1" applyAlignment="1">
      <alignment horizontal="left" vertical="center" wrapText="1"/>
    </xf>
    <xf numFmtId="0" fontId="10" fillId="0" borderId="12" xfId="0" applyFont="1" applyBorder="1" applyAlignment="1">
      <alignment horizontal="center" wrapText="1"/>
    </xf>
    <xf numFmtId="0" fontId="10" fillId="0" borderId="51" xfId="0" applyFont="1" applyBorder="1" applyAlignment="1">
      <alignment horizontal="center" wrapText="1"/>
    </xf>
    <xf numFmtId="0" fontId="10" fillId="0" borderId="0" xfId="0" applyFont="1" applyAlignment="1">
      <alignment horizontal="center" wrapText="1"/>
    </xf>
    <xf numFmtId="0" fontId="10" fillId="0" borderId="21" xfId="0" applyFont="1" applyBorder="1" applyAlignment="1">
      <alignment horizontal="center" wrapText="1"/>
    </xf>
    <xf numFmtId="49" fontId="10" fillId="5" borderId="47" xfId="0" applyNumberFormat="1" applyFont="1" applyFill="1" applyBorder="1" applyAlignment="1">
      <alignment horizontal="left" vertical="top" wrapText="1"/>
    </xf>
    <xf numFmtId="49" fontId="10" fillId="5" borderId="13" xfId="0" applyNumberFormat="1" applyFont="1" applyFill="1" applyBorder="1" applyAlignment="1">
      <alignment horizontal="left" vertical="top" wrapText="1"/>
    </xf>
    <xf numFmtId="49" fontId="10" fillId="5" borderId="48" xfId="0" applyNumberFormat="1" applyFont="1" applyFill="1" applyBorder="1" applyAlignment="1">
      <alignment horizontal="left" vertical="top" wrapText="1"/>
    </xf>
    <xf numFmtId="0" fontId="9" fillId="0" borderId="2" xfId="0" applyFont="1" applyBorder="1" applyAlignment="1">
      <alignment horizontal="right" vertical="center" wrapText="1"/>
    </xf>
    <xf numFmtId="0" fontId="36" fillId="0" borderId="30" xfId="60" applyFont="1" applyBorder="1" applyAlignment="1">
      <alignment horizontal="center" vertical="center"/>
    </xf>
    <xf numFmtId="0" fontId="36" fillId="0" borderId="8" xfId="60" applyFont="1" applyBorder="1" applyAlignment="1">
      <alignment horizontal="center" vertical="center"/>
    </xf>
    <xf numFmtId="0" fontId="9" fillId="0" borderId="55" xfId="0" applyFont="1" applyBorder="1" applyAlignment="1">
      <alignment horizontal="left" vertical="center" wrapText="1"/>
    </xf>
    <xf numFmtId="0" fontId="9" fillId="0" borderId="12" xfId="0" applyFont="1" applyBorder="1" applyAlignment="1">
      <alignment horizontal="left" vertical="center" wrapText="1"/>
    </xf>
    <xf numFmtId="0" fontId="9" fillId="0" borderId="4" xfId="0" applyFont="1" applyBorder="1" applyAlignment="1">
      <alignment horizontal="left" vertical="center" wrapText="1"/>
    </xf>
    <xf numFmtId="0" fontId="9" fillId="0" borderId="27" xfId="0" applyFont="1" applyBorder="1" applyAlignment="1">
      <alignment horizontal="center" vertical="center" wrapText="1"/>
    </xf>
    <xf numFmtId="0" fontId="9" fillId="0" borderId="28" xfId="0" applyFont="1" applyBorder="1" applyAlignment="1">
      <alignment horizontal="center" vertical="center" wrapText="1"/>
    </xf>
    <xf numFmtId="0" fontId="9" fillId="0" borderId="29" xfId="0" applyFont="1" applyBorder="1" applyAlignment="1">
      <alignment horizontal="center" vertical="center" wrapText="1"/>
    </xf>
    <xf numFmtId="0" fontId="9" fillId="0" borderId="48" xfId="0" applyFont="1" applyBorder="1" applyAlignment="1">
      <alignment horizontal="right" vertical="center" wrapText="1"/>
    </xf>
    <xf numFmtId="0" fontId="9" fillId="0" borderId="55" xfId="0" applyFont="1" applyBorder="1" applyAlignment="1">
      <alignment horizontal="center" vertical="center" wrapText="1"/>
    </xf>
    <xf numFmtId="0" fontId="9" fillId="0" borderId="12" xfId="0" applyFont="1" applyBorder="1" applyAlignment="1">
      <alignment horizontal="center" vertical="center" wrapText="1"/>
    </xf>
    <xf numFmtId="0" fontId="9" fillId="0" borderId="4" xfId="0" applyFont="1" applyBorder="1" applyAlignment="1">
      <alignment horizontal="center" vertical="center" wrapText="1"/>
    </xf>
    <xf numFmtId="49" fontId="10" fillId="0" borderId="47" xfId="0" applyNumberFormat="1" applyFont="1" applyBorder="1" applyAlignment="1">
      <alignment horizontal="left" vertical="top" wrapText="1"/>
    </xf>
    <xf numFmtId="49" fontId="10" fillId="0" borderId="13" xfId="0" applyNumberFormat="1" applyFont="1" applyBorder="1" applyAlignment="1">
      <alignment horizontal="left" vertical="top" wrapText="1"/>
    </xf>
    <xf numFmtId="49" fontId="10" fillId="0" borderId="48" xfId="0" applyNumberFormat="1" applyFont="1" applyBorder="1" applyAlignment="1">
      <alignment horizontal="left" vertical="top" wrapText="1"/>
    </xf>
    <xf numFmtId="0" fontId="36" fillId="0" borderId="20" xfId="60" applyFont="1" applyBorder="1" applyAlignment="1">
      <alignment horizontal="center" vertical="center"/>
    </xf>
    <xf numFmtId="0" fontId="36" fillId="0" borderId="0" xfId="60" applyFont="1" applyAlignment="1">
      <alignment horizontal="center" vertical="center"/>
    </xf>
    <xf numFmtId="0" fontId="36" fillId="0" borderId="21" xfId="60" applyFont="1" applyBorder="1" applyAlignment="1">
      <alignment horizontal="center" vertical="center"/>
    </xf>
    <xf numFmtId="0" fontId="36" fillId="0" borderId="7" xfId="60" applyFont="1" applyBorder="1" applyAlignment="1">
      <alignment horizontal="left" vertical="center"/>
    </xf>
    <xf numFmtId="0" fontId="36" fillId="0" borderId="8" xfId="60" applyFont="1" applyBorder="1" applyAlignment="1">
      <alignment horizontal="left" vertical="center"/>
    </xf>
    <xf numFmtId="0" fontId="36" fillId="0" borderId="9" xfId="60" applyFont="1" applyBorder="1" applyAlignment="1">
      <alignment horizontal="left" vertical="center"/>
    </xf>
    <xf numFmtId="0" fontId="56" fillId="0" borderId="20" xfId="62" applyFont="1" applyBorder="1" applyAlignment="1">
      <alignment horizontal="center" vertical="center"/>
    </xf>
    <xf numFmtId="0" fontId="56" fillId="0" borderId="0" xfId="62" applyFont="1" applyAlignment="1">
      <alignment horizontal="center" vertical="center"/>
    </xf>
    <xf numFmtId="0" fontId="56" fillId="0" borderId="21" xfId="62" applyFont="1" applyBorder="1" applyAlignment="1">
      <alignment horizontal="center" vertical="center"/>
    </xf>
    <xf numFmtId="0" fontId="56" fillId="0" borderId="47" xfId="62" applyFont="1" applyBorder="1" applyAlignment="1">
      <alignment horizontal="center" vertical="center"/>
    </xf>
    <xf numFmtId="0" fontId="56" fillId="0" borderId="13" xfId="62" applyFont="1" applyBorder="1" applyAlignment="1">
      <alignment horizontal="center" vertical="center"/>
    </xf>
    <xf numFmtId="0" fontId="56" fillId="0" borderId="48" xfId="62" applyFont="1" applyBorder="1" applyAlignment="1">
      <alignment horizontal="center" vertical="center"/>
    </xf>
    <xf numFmtId="0" fontId="10" fillId="0" borderId="16" xfId="62" applyFont="1" applyBorder="1" applyAlignment="1">
      <alignment horizontal="left" vertical="center" indent="1"/>
    </xf>
    <xf numFmtId="0" fontId="10" fillId="0" borderId="2" xfId="62" applyFont="1" applyBorder="1" applyAlignment="1">
      <alignment horizontal="left" vertical="center" indent="1"/>
    </xf>
    <xf numFmtId="0" fontId="10" fillId="0" borderId="2" xfId="62" applyFont="1" applyBorder="1" applyAlignment="1">
      <alignment horizontal="left" vertical="center" wrapText="1"/>
    </xf>
    <xf numFmtId="0" fontId="10" fillId="0" borderId="33" xfId="62" applyFont="1" applyBorder="1" applyAlignment="1">
      <alignment horizontal="left" vertical="center" wrapText="1"/>
    </xf>
    <xf numFmtId="0" fontId="10" fillId="0" borderId="49" xfId="62" applyFont="1" applyBorder="1" applyAlignment="1">
      <alignment horizontal="left" vertical="center" indent="1"/>
    </xf>
    <xf numFmtId="0" fontId="10" fillId="0" borderId="44" xfId="62" applyFont="1" applyBorder="1" applyAlignment="1">
      <alignment horizontal="left" vertical="center" indent="1"/>
    </xf>
    <xf numFmtId="0" fontId="10" fillId="0" borderId="44" xfId="62" applyFont="1" applyBorder="1" applyAlignment="1">
      <alignment horizontal="left" vertical="center" wrapText="1"/>
    </xf>
    <xf numFmtId="0" fontId="10" fillId="0" borderId="50" xfId="62" applyFont="1" applyBorder="1" applyAlignment="1">
      <alignment horizontal="left" vertical="center" wrapText="1"/>
    </xf>
    <xf numFmtId="0" fontId="10" fillId="0" borderId="30" xfId="31" applyFont="1" applyBorder="1" applyAlignment="1">
      <alignment horizontal="left" vertical="center"/>
    </xf>
    <xf numFmtId="0" fontId="10" fillId="0" borderId="8" xfId="31" applyFont="1" applyBorder="1" applyAlignment="1">
      <alignment horizontal="left" vertical="center"/>
    </xf>
    <xf numFmtId="0" fontId="10" fillId="0" borderId="9" xfId="31" applyFont="1" applyBorder="1" applyAlignment="1">
      <alignment horizontal="left" vertical="center"/>
    </xf>
    <xf numFmtId="0" fontId="10" fillId="0" borderId="7" xfId="31" applyFont="1" applyBorder="1" applyAlignment="1">
      <alignment horizontal="right" vertical="center"/>
    </xf>
    <xf numFmtId="0" fontId="10" fillId="0" borderId="31" xfId="31" applyFont="1" applyBorder="1" applyAlignment="1">
      <alignment horizontal="right" vertical="center"/>
    </xf>
    <xf numFmtId="0" fontId="120" fillId="0" borderId="0" xfId="5" applyFont="1" applyFill="1" applyBorder="1" applyAlignment="1" applyProtection="1">
      <alignment horizontal="center" vertical="center" wrapText="1"/>
    </xf>
    <xf numFmtId="0" fontId="120" fillId="0" borderId="21" xfId="5" applyFont="1" applyFill="1" applyBorder="1" applyAlignment="1" applyProtection="1">
      <alignment horizontal="center" vertical="center" wrapText="1"/>
    </xf>
    <xf numFmtId="0" fontId="56" fillId="0" borderId="20" xfId="31" applyFont="1" applyBorder="1" applyAlignment="1">
      <alignment horizontal="center" vertical="center"/>
    </xf>
    <xf numFmtId="0" fontId="56" fillId="0" borderId="0" xfId="31" applyFont="1" applyAlignment="1">
      <alignment horizontal="center" vertical="center"/>
    </xf>
    <xf numFmtId="0" fontId="56" fillId="0" borderId="21" xfId="31" applyFont="1" applyBorder="1" applyAlignment="1">
      <alignment horizontal="center" vertical="center"/>
    </xf>
    <xf numFmtId="0" fontId="56" fillId="0" borderId="47" xfId="31" applyFont="1" applyBorder="1" applyAlignment="1">
      <alignment horizontal="center" vertical="center"/>
    </xf>
    <xf numFmtId="0" fontId="56" fillId="0" borderId="13" xfId="31" applyFont="1" applyBorder="1" applyAlignment="1">
      <alignment horizontal="center" vertical="center"/>
    </xf>
    <xf numFmtId="0" fontId="56" fillId="0" borderId="48" xfId="31" applyFont="1" applyBorder="1" applyAlignment="1">
      <alignment horizontal="center" vertical="center"/>
    </xf>
    <xf numFmtId="0" fontId="10" fillId="0" borderId="16" xfId="31" applyFont="1" applyBorder="1" applyAlignment="1">
      <alignment horizontal="left" vertical="center"/>
    </xf>
    <xf numFmtId="0" fontId="10" fillId="0" borderId="2" xfId="31" applyFont="1" applyBorder="1" applyAlignment="1">
      <alignment horizontal="left" vertical="center"/>
    </xf>
    <xf numFmtId="0" fontId="56" fillId="0" borderId="30" xfId="31" applyFont="1" applyBorder="1" applyAlignment="1">
      <alignment horizontal="center" vertical="center"/>
    </xf>
    <xf numFmtId="0" fontId="56" fillId="0" borderId="8" xfId="31" applyFont="1" applyBorder="1" applyAlignment="1">
      <alignment horizontal="center" vertical="center"/>
    </xf>
    <xf numFmtId="0" fontId="56" fillId="0" borderId="31" xfId="31" applyFont="1" applyBorder="1" applyAlignment="1">
      <alignment horizontal="center" vertical="center"/>
    </xf>
    <xf numFmtId="0" fontId="9" fillId="0" borderId="55" xfId="31" applyFont="1" applyBorder="1" applyAlignment="1">
      <alignment horizontal="center" vertical="center"/>
    </xf>
    <xf numFmtId="0" fontId="9" fillId="0" borderId="12" xfId="31" applyFont="1" applyBorder="1" applyAlignment="1">
      <alignment horizontal="center" vertical="center"/>
    </xf>
    <xf numFmtId="0" fontId="9" fillId="0" borderId="51" xfId="31" applyFont="1" applyBorder="1" applyAlignment="1">
      <alignment horizontal="center" vertical="center"/>
    </xf>
    <xf numFmtId="0" fontId="10" fillId="0" borderId="20" xfId="31" applyFont="1" applyBorder="1" applyAlignment="1">
      <alignment horizontal="center" vertical="center"/>
    </xf>
    <xf numFmtId="0" fontId="10" fillId="0" borderId="0" xfId="31" applyFont="1" applyAlignment="1">
      <alignment horizontal="center" vertical="center"/>
    </xf>
    <xf numFmtId="0" fontId="10" fillId="0" borderId="21" xfId="31" applyFont="1" applyBorder="1" applyAlignment="1">
      <alignment horizontal="center" vertical="center"/>
    </xf>
    <xf numFmtId="0" fontId="9" fillId="0" borderId="30" xfId="31" applyFont="1" applyBorder="1" applyAlignment="1">
      <alignment horizontal="left" vertical="center"/>
    </xf>
    <xf numFmtId="0" fontId="9" fillId="0" borderId="9" xfId="31" applyFont="1" applyBorder="1" applyAlignment="1">
      <alignment horizontal="left" vertical="center"/>
    </xf>
    <xf numFmtId="0" fontId="10" fillId="0" borderId="20" xfId="0" applyFont="1" applyBorder="1" applyAlignment="1">
      <alignment horizontal="left" vertical="center"/>
    </xf>
    <xf numFmtId="0" fontId="10" fillId="0" borderId="0" xfId="0" applyFont="1" applyAlignment="1">
      <alignment horizontal="left" vertical="center"/>
    </xf>
    <xf numFmtId="0" fontId="9" fillId="0" borderId="2" xfId="0" applyFont="1" applyBorder="1" applyAlignment="1">
      <alignment horizontal="left" vertical="center" wrapText="1"/>
    </xf>
    <xf numFmtId="0" fontId="9" fillId="0" borderId="2" xfId="0" quotePrefix="1" applyFont="1" applyBorder="1" applyAlignment="1">
      <alignment horizontal="center" vertical="center" wrapText="1"/>
    </xf>
    <xf numFmtId="0" fontId="9" fillId="0" borderId="33" xfId="0" quotePrefix="1" applyFont="1" applyBorder="1" applyAlignment="1">
      <alignment horizontal="center" vertical="center" wrapText="1"/>
    </xf>
    <xf numFmtId="0" fontId="10" fillId="0" borderId="2" xfId="0" applyFont="1" applyBorder="1" applyAlignment="1">
      <alignment horizontal="left" vertical="center"/>
    </xf>
    <xf numFmtId="0" fontId="10" fillId="0" borderId="2" xfId="0" applyFont="1" applyBorder="1" applyAlignment="1">
      <alignment horizontal="center" vertical="center"/>
    </xf>
    <xf numFmtId="0" fontId="10" fillId="0" borderId="33" xfId="0" applyFont="1" applyBorder="1" applyAlignment="1">
      <alignment horizontal="center" vertical="center"/>
    </xf>
    <xf numFmtId="0" fontId="56" fillId="0" borderId="17" xfId="0" applyFont="1" applyBorder="1" applyAlignment="1">
      <alignment horizontal="center" vertical="center" wrapText="1"/>
    </xf>
    <xf numFmtId="0" fontId="56" fillId="0" borderId="18" xfId="0" applyFont="1" applyBorder="1" applyAlignment="1">
      <alignment horizontal="center" vertical="center" wrapText="1"/>
    </xf>
    <xf numFmtId="0" fontId="56" fillId="0" borderId="19" xfId="0" applyFont="1" applyBorder="1" applyAlignment="1">
      <alignment horizontal="center" vertical="center" wrapText="1"/>
    </xf>
    <xf numFmtId="0" fontId="56" fillId="0" borderId="20" xfId="0" applyFont="1" applyBorder="1" applyAlignment="1">
      <alignment horizontal="center" vertical="center" wrapText="1"/>
    </xf>
    <xf numFmtId="0" fontId="56" fillId="0" borderId="0" xfId="0" applyFont="1" applyAlignment="1">
      <alignment horizontal="center" vertical="center" wrapText="1"/>
    </xf>
    <xf numFmtId="0" fontId="56" fillId="0" borderId="21" xfId="0" applyFont="1" applyBorder="1" applyAlignment="1">
      <alignment horizontal="center" vertical="center" wrapText="1"/>
    </xf>
    <xf numFmtId="0" fontId="9" fillId="0" borderId="2" xfId="0" applyFont="1" applyBorder="1" applyAlignment="1">
      <alignment horizontal="left" vertical="center"/>
    </xf>
    <xf numFmtId="0" fontId="10" fillId="0" borderId="2" xfId="0" applyFont="1" applyBorder="1" applyAlignment="1">
      <alignment horizontal="left" vertical="center" wrapText="1" indent="1"/>
    </xf>
    <xf numFmtId="0" fontId="10" fillId="0" borderId="33" xfId="0" applyFont="1" applyBorder="1" applyAlignment="1">
      <alignment horizontal="left" vertical="center" wrapText="1" indent="1"/>
    </xf>
    <xf numFmtId="0" fontId="10" fillId="0" borderId="30" xfId="0" applyFont="1" applyBorder="1" applyAlignment="1">
      <alignment horizontal="left" vertical="center" wrapText="1"/>
    </xf>
    <xf numFmtId="0" fontId="10" fillId="0" borderId="9" xfId="0" applyFont="1" applyBorder="1" applyAlignment="1">
      <alignment horizontal="left" vertical="center" wrapText="1"/>
    </xf>
    <xf numFmtId="0" fontId="10" fillId="0" borderId="7" xfId="0" applyFont="1" applyBorder="1" applyAlignment="1">
      <alignment horizontal="left" vertical="center" wrapText="1" indent="1"/>
    </xf>
    <xf numFmtId="0" fontId="10" fillId="0" borderId="8" xfId="0" applyFont="1" applyBorder="1" applyAlignment="1">
      <alignment horizontal="left" vertical="center" wrapText="1" indent="1"/>
    </xf>
    <xf numFmtId="0" fontId="10" fillId="0" borderId="31" xfId="0" applyFont="1" applyBorder="1" applyAlignment="1">
      <alignment horizontal="left" vertical="center" wrapText="1" indent="1"/>
    </xf>
    <xf numFmtId="0" fontId="10" fillId="0" borderId="33" xfId="0" applyFont="1" applyBorder="1" applyAlignment="1">
      <alignment horizontal="left" vertical="center" wrapText="1"/>
    </xf>
    <xf numFmtId="0" fontId="10" fillId="0" borderId="20" xfId="0" applyFont="1" applyBorder="1" applyAlignment="1">
      <alignment horizontal="center" vertical="center" wrapText="1"/>
    </xf>
    <xf numFmtId="0" fontId="10" fillId="0" borderId="0" xfId="0" applyFont="1" applyAlignment="1">
      <alignment horizontal="center" vertical="center" wrapText="1"/>
    </xf>
    <xf numFmtId="0" fontId="9" fillId="0" borderId="16" xfId="0" applyFont="1" applyBorder="1" applyAlignment="1">
      <alignment horizontal="center" vertical="center" wrapText="1"/>
    </xf>
    <xf numFmtId="0" fontId="56" fillId="0" borderId="17" xfId="0" applyFont="1" applyBorder="1" applyAlignment="1">
      <alignment horizontal="center" vertical="center"/>
    </xf>
    <xf numFmtId="0" fontId="56" fillId="0" borderId="18" xfId="0" applyFont="1" applyBorder="1" applyAlignment="1">
      <alignment horizontal="center" vertical="center"/>
    </xf>
    <xf numFmtId="0" fontId="56" fillId="0" borderId="19" xfId="0" applyFont="1" applyBorder="1" applyAlignment="1">
      <alignment horizontal="center" vertical="center"/>
    </xf>
    <xf numFmtId="0" fontId="9" fillId="0" borderId="20" xfId="0" applyFont="1" applyBorder="1" applyAlignment="1">
      <alignment horizontal="center" vertical="center"/>
    </xf>
    <xf numFmtId="0" fontId="9" fillId="0" borderId="0" xfId="0" applyFont="1" applyAlignment="1">
      <alignment horizontal="center" vertical="center"/>
    </xf>
    <xf numFmtId="0" fontId="9" fillId="0" borderId="21" xfId="0" applyFont="1" applyBorder="1" applyAlignment="1">
      <alignment horizontal="center" vertical="center"/>
    </xf>
    <xf numFmtId="0" fontId="71" fillId="0" borderId="34" xfId="0" applyFont="1" applyBorder="1" applyAlignment="1">
      <alignment horizontal="left" vertical="center" wrapText="1"/>
    </xf>
    <xf numFmtId="0" fontId="71" fillId="0" borderId="56" xfId="0" applyFont="1" applyBorder="1" applyAlignment="1">
      <alignment horizontal="left" vertical="center" wrapText="1"/>
    </xf>
    <xf numFmtId="0" fontId="71" fillId="0" borderId="3" xfId="0" applyFont="1" applyBorder="1" applyAlignment="1">
      <alignment horizontal="left" vertical="center"/>
    </xf>
    <xf numFmtId="0" fontId="71" fillId="0" borderId="5" xfId="0" applyFont="1" applyBorder="1" applyAlignment="1">
      <alignment horizontal="left" vertical="center"/>
    </xf>
    <xf numFmtId="0" fontId="123" fillId="0" borderId="35" xfId="0" applyFont="1" applyBorder="1" applyAlignment="1">
      <alignment horizontal="center" vertical="center"/>
    </xf>
    <xf numFmtId="0" fontId="123" fillId="0" borderId="36" xfId="0" applyFont="1" applyBorder="1" applyAlignment="1">
      <alignment horizontal="center" vertical="center"/>
    </xf>
    <xf numFmtId="0" fontId="123" fillId="0" borderId="37" xfId="0" applyFont="1" applyBorder="1" applyAlignment="1">
      <alignment horizontal="center" vertical="center"/>
    </xf>
    <xf numFmtId="0" fontId="58" fillId="0" borderId="3" xfId="0" applyFont="1" applyBorder="1" applyAlignment="1">
      <alignment horizontal="left" vertical="center"/>
    </xf>
    <xf numFmtId="0" fontId="58" fillId="0" borderId="5" xfId="0" applyFont="1" applyBorder="1" applyAlignment="1">
      <alignment horizontal="left" vertical="center"/>
    </xf>
  </cellXfs>
  <cellStyles count="85">
    <cellStyle name="_x0013_" xfId="74" xr:uid="{230597EB-16FB-4F6C-9C6A-7F8DDA6C9198}"/>
    <cellStyle name="Comma" xfId="63" builtinId="3"/>
    <cellStyle name="Comma 12 2 2 2" xfId="47" xr:uid="{0780CC4C-D371-4E33-B80A-C5D858834B27}"/>
    <cellStyle name="Comma 2" xfId="6" xr:uid="{4257DE00-D997-4F76-B3D7-6D7F8A0E1696}"/>
    <cellStyle name="Comma 2 4" xfId="61" xr:uid="{14BDDC9E-5CEB-48D1-B23D-C6194D57DA48}"/>
    <cellStyle name="Comma 3" xfId="9" xr:uid="{C252ED86-A745-4DFB-87CD-70EF66AE7AB5}"/>
    <cellStyle name="Comma 3 2 2 2" xfId="29" xr:uid="{4AA8FAD7-EB10-46DA-8BC8-EBA935A07D04}"/>
    <cellStyle name="Comma 35 2" xfId="72" xr:uid="{782EF529-E933-4412-9304-7052194062A9}"/>
    <cellStyle name="Hyperlink" xfId="2" builtinId="8"/>
    <cellStyle name="Hyperlink 2" xfId="5" xr:uid="{1BD0ED68-9C4B-4250-A943-A80837356258}"/>
    <cellStyle name="Hyperlink 2 2" xfId="32" xr:uid="{6A052356-4810-40AB-90CD-19045080EB04}"/>
    <cellStyle name="Hyperlink 3" xfId="50" xr:uid="{C9B23BA9-F707-4855-9F3C-73AAF980FC37}"/>
    <cellStyle name="Normal" xfId="0" builtinId="0"/>
    <cellStyle name="Normal - Style1 2 2 2" xfId="39" xr:uid="{E79E7E2A-9200-4CCC-A352-6FF2CCE0B644}"/>
    <cellStyle name="Normal - Style1 2 2 2 2" xfId="30" xr:uid="{F8793DFC-D840-48D9-9546-6D336F7A074A}"/>
    <cellStyle name="Normal 10 2 2" xfId="35" xr:uid="{469427F3-DFEA-412B-9D06-F51E1EFE115B}"/>
    <cellStyle name="Normal 10 3 3 2" xfId="31" xr:uid="{6418A12D-5E62-4BA1-BE30-A6B9089825CD}"/>
    <cellStyle name="Normal 10 4 2 2" xfId="25" xr:uid="{A87D9445-5332-4740-B9D8-B9B83F3D55FE}"/>
    <cellStyle name="Normal 100" xfId="18" xr:uid="{1DC0B5AD-46E7-402A-A882-4F085AA54E5F}"/>
    <cellStyle name="Normal 101" xfId="21" xr:uid="{4F01CBEF-20D2-4CEF-A742-35FD1B5F8A08}"/>
    <cellStyle name="Normal 102" xfId="22" xr:uid="{03C40EA4-F5F0-45EA-8AD6-61A71543F8A3}"/>
    <cellStyle name="Normal 103" xfId="23" xr:uid="{543153F8-93F7-4C05-ACCE-588930B6E960}"/>
    <cellStyle name="Normal 108 2" xfId="33" xr:uid="{66108F36-F58E-4254-8DAF-4A71A5E3F0EA}"/>
    <cellStyle name="Normal 11 2" xfId="65" xr:uid="{3C4D8A0B-A195-4997-8594-51AFDC83C1A3}"/>
    <cellStyle name="Normal 112" xfId="51" xr:uid="{BC6F5925-ACC9-4E18-9D63-E686F6C6384F}"/>
    <cellStyle name="Normal 12 2" xfId="66" xr:uid="{E37B05C0-42D2-47FA-8A1B-B8CCB9D09036}"/>
    <cellStyle name="Normal 15" xfId="60" xr:uid="{E4716064-D335-46AE-8485-D2E16FB8BBC5}"/>
    <cellStyle name="Normal 159" xfId="83" xr:uid="{3D424DCC-BB57-4AB3-BFEB-6A0C88824BD6}"/>
    <cellStyle name="Normal 16" xfId="13" xr:uid="{A6F558C6-026D-4C15-B1AC-CE6BD2DCB7D3}"/>
    <cellStyle name="Normal 16 2" xfId="36" xr:uid="{8A13AE1E-71A8-4079-A651-0D3BBFFC1ACD}"/>
    <cellStyle name="Normal 16 3" xfId="67" xr:uid="{8C2C80F7-90E5-498E-984F-1919AA1F2993}"/>
    <cellStyle name="Normal 18" xfId="12" xr:uid="{366C9588-547E-4B65-84E0-0C58573A9360}"/>
    <cellStyle name="Normal 2" xfId="68" xr:uid="{38A625D6-3CFC-42E9-B659-63A6862FF5F3}"/>
    <cellStyle name="Normal 2 10 3" xfId="82" xr:uid="{1C9434E4-6B27-4673-A657-C9FC50CB60F7}"/>
    <cellStyle name="Normal 2 2" xfId="53" xr:uid="{F935275C-A412-47F9-948A-479B61022E47}"/>
    <cellStyle name="Normal 2 2 2" xfId="20" xr:uid="{964399F8-FB69-4446-98FE-996D6D724BC3}"/>
    <cellStyle name="Normal 2 2 2 2 2" xfId="62" xr:uid="{AA5DD3B6-C231-4508-A8B2-59033D15FE24}"/>
    <cellStyle name="Normal 2 2 3" xfId="14" xr:uid="{8283B36B-A5A5-47E2-928A-1413448E9804}"/>
    <cellStyle name="Normal 2 2 5" xfId="55" xr:uid="{A510307E-BD64-42D9-9EA4-DDCA86B4AD1D}"/>
    <cellStyle name="Normal 2 2 6" xfId="54" xr:uid="{FCB4466A-18FE-4361-AD08-B59CC7B12703}"/>
    <cellStyle name="Normal 2 2 9 2" xfId="84" xr:uid="{24C62961-766A-4768-9898-FD57680E5639}"/>
    <cellStyle name="Normal 2 3" xfId="52" xr:uid="{B2499F6A-C8DF-4978-A549-98C2E0DEFABE}"/>
    <cellStyle name="Normal 2 4" xfId="81" xr:uid="{A76C5792-2F71-4916-8C10-6216A34A93F0}"/>
    <cellStyle name="Normal 2 4 3 2" xfId="48" xr:uid="{3AFEBA64-EF13-458F-95EE-4713CA6E20AB}"/>
    <cellStyle name="Normal 2 5 3 2" xfId="58" xr:uid="{45F57F66-D76D-49E5-9DAD-AF6335E7ECD9}"/>
    <cellStyle name="Normal 23" xfId="59" xr:uid="{A556684D-B8B0-4D99-BFFF-519680DF1765}"/>
    <cellStyle name="Normal 23 5" xfId="34" xr:uid="{4378D4FA-BDC8-4840-B7BD-8A5430CBCB9C}"/>
    <cellStyle name="Normal 28" xfId="49" xr:uid="{A2C04749-001B-41FF-BF08-E287E6EF7137}"/>
    <cellStyle name="Normal 3" xfId="11" xr:uid="{55EBF5A3-EC48-42CB-9DDF-682B43EDE077}"/>
    <cellStyle name="Normal 3 2 2 2" xfId="24" xr:uid="{6652E43A-9F0E-45F9-9D73-D8EF77767873}"/>
    <cellStyle name="Normal 33" xfId="10" xr:uid="{AAFA7A11-F2A0-4A6C-9D59-9628DA992C87}"/>
    <cellStyle name="Normal 4" xfId="27" xr:uid="{7455729A-D935-4204-9959-F6E8331E590F}"/>
    <cellStyle name="Normal 4 2" xfId="69" xr:uid="{84D04407-995F-4170-BAAB-AD214AB762D3}"/>
    <cellStyle name="Normal 4 2 2 2" xfId="37" xr:uid="{1692B510-8FE2-40DA-8CB9-CABDE51A845C}"/>
    <cellStyle name="Normal 4 2 2 3" xfId="57" xr:uid="{72467217-1BFE-4A66-A6FC-602C190572AD}"/>
    <cellStyle name="Normal 4 2 3" xfId="56" xr:uid="{14E6F220-626D-4AA5-907C-6A472FCD398A}"/>
    <cellStyle name="Normal 42" xfId="4" xr:uid="{4D0A6D77-0EFB-4806-8704-B9CB379C6946}"/>
    <cellStyle name="Normal 44" xfId="3" xr:uid="{3291D57B-5B77-4533-99F0-FBC823ECD339}"/>
    <cellStyle name="Normal 5" xfId="19" xr:uid="{217D7F71-1680-4815-ACBB-13AE3C669C54}"/>
    <cellStyle name="Normal 5 2" xfId="70" xr:uid="{1160A00E-68E1-42D9-97DE-96A25891CF15}"/>
    <cellStyle name="Normal 5 2 2" xfId="75" xr:uid="{BA7F808C-0497-46C0-8BDD-B7542ABEE1CE}"/>
    <cellStyle name="Normal 5 4 3 5" xfId="80" xr:uid="{24E06D8C-7163-45E9-BECA-32C7B8514A28}"/>
    <cellStyle name="Normal 6" xfId="64" xr:uid="{40F8E9B7-74AC-4D25-B864-86B675C20E06}"/>
    <cellStyle name="Normal 6 2" xfId="76" xr:uid="{073AFA0F-CFA2-426F-988B-C8C4201BC084}"/>
    <cellStyle name="Normal 7" xfId="71" xr:uid="{323A9A63-2A06-423A-AB6E-1B5EE9AE7592}"/>
    <cellStyle name="Normal 76" xfId="40" xr:uid="{64F7292F-BB1D-4B05-98D6-2E4374E8B9C6}"/>
    <cellStyle name="Normal 77" xfId="43" xr:uid="{10BE7B6B-E26F-4625-9F56-017445E56CF9}"/>
    <cellStyle name="Normal 79" xfId="41" xr:uid="{C29811A1-1597-4718-B082-BC2F254C6915}"/>
    <cellStyle name="Normal 8 2" xfId="28" xr:uid="{D5D3FD5C-8C86-41FE-91F8-006346F14B5F}"/>
    <cellStyle name="Normal 8 2 2" xfId="73" xr:uid="{80163F0D-3515-4A23-9CE1-95E23753A9D3}"/>
    <cellStyle name="Normal 80" xfId="42" xr:uid="{17DF1241-BD5E-4905-9851-8DD2B92935F9}"/>
    <cellStyle name="Normal 832" xfId="79" xr:uid="{C08C7162-A663-4C48-A62F-E18CA42CFAFD}"/>
    <cellStyle name="Normal 88" xfId="8" xr:uid="{345E7B0B-48EA-4D3B-A353-234B63AA6DE5}"/>
    <cellStyle name="Normal 9" xfId="78" xr:uid="{A338E508-0367-4B4E-994F-9C584C9BE435}"/>
    <cellStyle name="Normal 98" xfId="16" xr:uid="{F4EA83B1-A5BA-4496-A312-F3ECA4A4CEB1}"/>
    <cellStyle name="Normal 99" xfId="17" xr:uid="{D7FED332-1D3F-4930-9A5C-668F20E7F912}"/>
    <cellStyle name="Normal_3.1 updated_1" xfId="15" xr:uid="{886D6274-EFA4-45E3-95F4-A524994B1648}"/>
    <cellStyle name="Normal_34" xfId="44" xr:uid="{9CDB9B5C-427E-49E5-86DE-4B813321606B}"/>
    <cellStyle name="Normal_39-41" xfId="45" xr:uid="{7127E391-E9E4-4A17-8614-2431AF397588}"/>
    <cellStyle name="Normal_Sheet7" xfId="38" xr:uid="{FD4F9839-2664-4FB1-9D2B-64CAFB2D7A41}"/>
    <cellStyle name="Percent" xfId="1" builtinId="5"/>
    <cellStyle name="Percent 10 2" xfId="26" xr:uid="{2D73EBEA-78B4-4F0B-9653-39E580C17A55}"/>
    <cellStyle name="Percent 10 3" xfId="7" xr:uid="{BDCFCD8B-569C-4930-B151-30399F8B1BF6}"/>
    <cellStyle name="Percent 2" xfId="77" xr:uid="{40A99BA4-DA58-4CD5-B453-473759890ABB}"/>
    <cellStyle name="Style 1" xfId="46" xr:uid="{EBEBC39E-DA27-40A2-AF20-9D971CB651C0}"/>
  </cellStyles>
  <dxfs count="1">
    <dxf>
      <fill>
        <patternFill>
          <bgColor theme="9"/>
        </patternFill>
      </fill>
    </dxf>
  </dxfs>
  <tableStyles count="0" defaultTableStyle="TableStyleMedium2" defaultPivotStyle="PivotStyleLight16"/>
  <colors>
    <mruColors>
      <color rgb="FFFF00FF"/>
      <color rgb="FFF9EED7"/>
      <color rgb="FFF2EF71"/>
      <color rgb="FFF5E0B5"/>
      <color rgb="FFEBC06B"/>
      <color rgb="FFF1D499"/>
      <color rgb="FFEEDC54"/>
      <color rgb="FFD99A1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117" Type="http://schemas.openxmlformats.org/officeDocument/2006/relationships/externalLink" Target="externalLinks/externalLink10.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worksheet" Target="worksheets/sheet68.xml"/><Relationship Id="rId84" Type="http://schemas.openxmlformats.org/officeDocument/2006/relationships/worksheet" Target="worksheets/sheet84.xml"/><Relationship Id="rId89" Type="http://schemas.openxmlformats.org/officeDocument/2006/relationships/worksheet" Target="worksheets/sheet89.xml"/><Relationship Id="rId112" Type="http://schemas.openxmlformats.org/officeDocument/2006/relationships/externalLink" Target="externalLinks/externalLink5.xml"/><Relationship Id="rId16" Type="http://schemas.openxmlformats.org/officeDocument/2006/relationships/worksheet" Target="worksheets/sheet16.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37" Type="http://schemas.openxmlformats.org/officeDocument/2006/relationships/worksheet" Target="worksheets/sheet37.xml"/><Relationship Id="rId53" Type="http://schemas.openxmlformats.org/officeDocument/2006/relationships/worksheet" Target="worksheets/sheet53.xml"/><Relationship Id="rId58" Type="http://schemas.openxmlformats.org/officeDocument/2006/relationships/worksheet" Target="worksheets/sheet58.xml"/><Relationship Id="rId74" Type="http://schemas.openxmlformats.org/officeDocument/2006/relationships/worksheet" Target="worksheets/sheet74.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styles" Target="styles.xml"/><Relationship Id="rId5" Type="http://schemas.openxmlformats.org/officeDocument/2006/relationships/worksheet" Target="worksheets/sheet5.xml"/><Relationship Id="rId90" Type="http://schemas.openxmlformats.org/officeDocument/2006/relationships/worksheet" Target="worksheets/sheet90.xml"/><Relationship Id="rId95" Type="http://schemas.openxmlformats.org/officeDocument/2006/relationships/worksheet" Target="worksheets/sheet95.xml"/><Relationship Id="rId22" Type="http://schemas.openxmlformats.org/officeDocument/2006/relationships/worksheet" Target="worksheets/sheet22.xml"/><Relationship Id="rId27" Type="http://schemas.openxmlformats.org/officeDocument/2006/relationships/worksheet" Target="worksheets/sheet27.xml"/><Relationship Id="rId43" Type="http://schemas.openxmlformats.org/officeDocument/2006/relationships/worksheet" Target="worksheets/sheet43.xml"/><Relationship Id="rId48" Type="http://schemas.openxmlformats.org/officeDocument/2006/relationships/worksheet" Target="worksheets/sheet48.xml"/><Relationship Id="rId64" Type="http://schemas.openxmlformats.org/officeDocument/2006/relationships/worksheet" Target="worksheets/sheet64.xml"/><Relationship Id="rId69" Type="http://schemas.openxmlformats.org/officeDocument/2006/relationships/worksheet" Target="worksheets/sheet69.xml"/><Relationship Id="rId113" Type="http://schemas.openxmlformats.org/officeDocument/2006/relationships/externalLink" Target="externalLinks/externalLink6.xml"/><Relationship Id="rId118" Type="http://schemas.openxmlformats.org/officeDocument/2006/relationships/externalLink" Target="externalLinks/externalLink11.xml"/><Relationship Id="rId80" Type="http://schemas.openxmlformats.org/officeDocument/2006/relationships/worksheet" Target="worksheets/sheet80.xml"/><Relationship Id="rId85" Type="http://schemas.openxmlformats.org/officeDocument/2006/relationships/worksheet" Target="worksheets/sheet85.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externalLink" Target="externalLinks/externalLink1.xml"/><Relationship Id="rId124" Type="http://schemas.openxmlformats.org/officeDocument/2006/relationships/sharedStrings" Target="sharedStrings.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 Type="http://schemas.openxmlformats.org/officeDocument/2006/relationships/worksheet" Target="worksheets/sheet1.xml"/><Relationship Id="rId6" Type="http://schemas.openxmlformats.org/officeDocument/2006/relationships/worksheet" Target="worksheets/sheet6.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externalLink" Target="externalLinks/externalLink7.xml"/><Relationship Id="rId119" Type="http://schemas.openxmlformats.org/officeDocument/2006/relationships/externalLink" Target="externalLinks/externalLink12.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externalLink" Target="externalLinks/externalLink2.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externalLink" Target="externalLinks/externalLink13.xml"/><Relationship Id="rId125" Type="http://schemas.openxmlformats.org/officeDocument/2006/relationships/calcChain" Target="calcChain.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externalLink" Target="externalLinks/externalLink3.xml"/><Relationship Id="rId115" Type="http://schemas.openxmlformats.org/officeDocument/2006/relationships/externalLink" Target="externalLinks/externalLink8.xml"/><Relationship Id="rId61" Type="http://schemas.openxmlformats.org/officeDocument/2006/relationships/worksheet" Target="worksheets/sheet61.xml"/><Relationship Id="rId82" Type="http://schemas.openxmlformats.org/officeDocument/2006/relationships/worksheet" Target="worksheets/sheet8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externalLink" Target="externalLinks/externalLink14.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externalLink" Target="externalLinks/externalLink9.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externalLink" Target="externalLinks/externalLink4.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3" Type="http://schemas.openxmlformats.org/officeDocument/2006/relationships/themeOverride" Target="../theme/themeOverride1.xml"/><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3" Type="http://schemas.openxmlformats.org/officeDocument/2006/relationships/themeOverride" Target="../theme/themeOverride2.xml"/><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1" Type="http://schemas.openxmlformats.org/officeDocument/2006/relationships/themeOverride" Target="../theme/themeOverride3.xml"/></Relationships>
</file>

<file path=xl/charts/_rels/chart59.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60.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1.xml.rels><?xml version="1.0" encoding="UTF-8" standalone="yes"?>
<Relationships xmlns="http://schemas.openxmlformats.org/package/2006/relationships"><Relationship Id="rId3" Type="http://schemas.openxmlformats.org/officeDocument/2006/relationships/themeOverride" Target="../theme/themeOverride4.xml"/><Relationship Id="rId2" Type="http://schemas.microsoft.com/office/2011/relationships/chartColorStyle" Target="colors60.xml"/><Relationship Id="rId1" Type="http://schemas.microsoft.com/office/2011/relationships/chartStyle" Target="style60.xml"/></Relationships>
</file>

<file path=xl/charts/_rels/chart62.xml.rels><?xml version="1.0" encoding="UTF-8" standalone="yes"?>
<Relationships xmlns="http://schemas.openxmlformats.org/package/2006/relationships"><Relationship Id="rId1" Type="http://schemas.openxmlformats.org/officeDocument/2006/relationships/themeOverride" Target="../theme/themeOverride5.xml"/></Relationships>
</file>

<file path=xl/charts/_rels/chart63.xml.rels><?xml version="1.0" encoding="UTF-8" standalone="yes"?>
<Relationships xmlns="http://schemas.openxmlformats.org/package/2006/relationships"><Relationship Id="rId1" Type="http://schemas.openxmlformats.org/officeDocument/2006/relationships/themeOverride" Target="../theme/themeOverride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Book Antiqua" panose="02040602050305030304" pitchFamily="18" charset="0"/>
                <a:ea typeface="+mn-ea"/>
                <a:cs typeface="+mn-cs"/>
              </a:defRPr>
            </a:pPr>
            <a:r>
              <a:rPr lang="en-IN" b="1"/>
              <a:t>India's Energy basket in 2023</a:t>
            </a: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Book Antiqua" panose="02040602050305030304" pitchFamily="18" charset="0"/>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explosion val="52"/>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FE8A-48F9-9AD0-5AEB769F63CD}"/>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FE8A-48F9-9AD0-5AEB769F63CD}"/>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FE8A-48F9-9AD0-5AEB769F63CD}"/>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FE8A-48F9-9AD0-5AEB769F63CD}"/>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FE8A-48F9-9AD0-5AEB769F63CD}"/>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FE8A-48F9-9AD0-5AEB769F63CD}"/>
              </c:ext>
            </c:extLst>
          </c:dPt>
          <c:dLbls>
            <c:dLbl>
              <c:idx val="0"/>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01-FE8A-48F9-9AD0-5AEB769F63CD}"/>
                </c:ext>
              </c:extLst>
            </c:dLbl>
            <c:dLbl>
              <c:idx val="1"/>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03-FE8A-48F9-9AD0-5AEB769F63CD}"/>
                </c:ext>
              </c:extLst>
            </c:dLbl>
            <c:dLbl>
              <c:idx val="2"/>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05-FE8A-48F9-9AD0-5AEB769F63CD}"/>
                </c:ext>
              </c:extLst>
            </c:dLbl>
            <c:dLbl>
              <c:idx val="3"/>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07-FE8A-48F9-9AD0-5AEB769F63CD}"/>
                </c:ext>
              </c:extLst>
            </c:dLbl>
            <c:dLbl>
              <c:idx val="4"/>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09-FE8A-48F9-9AD0-5AEB769F63CD}"/>
                </c:ext>
              </c:extLst>
            </c:dLbl>
            <c:dLbl>
              <c:idx val="5"/>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0"/>
              <c:showBubbleSize val="0"/>
              <c:extLst>
                <c:ext xmlns:c16="http://schemas.microsoft.com/office/drawing/2014/chart" uri="{C3380CC4-5D6E-409C-BE32-E72D297353CC}">
                  <c16:uniqueId val="{0000000B-FE8A-48F9-9AD0-5AEB769F63CD}"/>
                </c:ext>
              </c:extLst>
            </c:dLbl>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0"/>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val>
            <c:numRef>
              <c:f>#REF!</c:f>
              <c:numCache>
                <c:formatCode>General</c:formatCode>
                <c:ptCount val="6"/>
                <c:pt idx="0">
                  <c:v>252.53433933843399</c:v>
                </c:pt>
                <c:pt idx="1">
                  <c:v>53.835174831698502</c:v>
                </c:pt>
                <c:pt idx="2">
                  <c:v>525.01306363434003</c:v>
                </c:pt>
                <c:pt idx="3">
                  <c:v>10.331854718205699</c:v>
                </c:pt>
                <c:pt idx="4">
                  <c:v>33.317809119953601</c:v>
                </c:pt>
                <c:pt idx="5">
                  <c:v>56.855637122637397</c:v>
                </c:pt>
              </c:numCache>
            </c:numRef>
          </c:val>
          <c:extLst>
            <c:ext xmlns:c15="http://schemas.microsoft.com/office/drawing/2012/chart" uri="{02D57815-91ED-43cb-92C2-25804820EDAC}">
              <c15:filteredCategoryTitle>
                <c15:cat>
                  <c:strRef>
                    <c:extLst>
                      <c:ext uri="{02D57815-91ED-43cb-92C2-25804820EDAC}">
                        <c15:formulaRef>
                          <c15:sqref>#REF!</c15:sqref>
                        </c15:formulaRef>
                      </c:ext>
                    </c:extLst>
                    <c:strCache>
                      <c:ptCount val="6"/>
                      <c:pt idx="0">
                        <c:v>Oil</c:v>
                      </c:pt>
                      <c:pt idx="1">
                        <c:v>Natural Gas</c:v>
                      </c:pt>
                      <c:pt idx="2">
                        <c:v>Coal</c:v>
                      </c:pt>
                      <c:pt idx="3">
                        <c:v>Nuclear energy</c:v>
                      </c:pt>
                      <c:pt idx="4">
                        <c:v>Hydro electric</c:v>
                      </c:pt>
                      <c:pt idx="5">
                        <c:v>Renewables</c:v>
                      </c:pt>
                    </c:strCache>
                  </c:strRef>
                </c15:cat>
              </c15:filteredCategoryTitle>
            </c:ext>
            <c:ext xmlns:c16="http://schemas.microsoft.com/office/drawing/2014/chart" uri="{C3380CC4-5D6E-409C-BE32-E72D297353CC}">
              <c16:uniqueId val="{0000000C-FE8A-48F9-9AD0-5AEB769F63CD}"/>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2">
        <a:lumMod val="20000"/>
        <a:lumOff val="80000"/>
      </a:schemeClr>
    </a:solidFill>
    <a:ln w="9525" cap="flat" cmpd="sng" algn="ctr">
      <a:solidFill>
        <a:schemeClr val="accent4">
          <a:lumMod val="50000"/>
        </a:schemeClr>
      </a:solidFill>
      <a:round/>
    </a:ln>
    <a:effectLst/>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ysClr val="windowText" lastClr="000000"/>
                </a:solidFill>
                <a:latin typeface="Book Antiqua" panose="02040602050305030304" pitchFamily="18" charset="0"/>
                <a:ea typeface="+mn-ea"/>
                <a:cs typeface="+mn-cs"/>
              </a:defRPr>
            </a:pPr>
            <a:r>
              <a:rPr lang="en-IN" b="1">
                <a:solidFill>
                  <a:sysClr val="windowText" lastClr="000000"/>
                </a:solidFill>
              </a:rPr>
              <a:t>India's Energy basket in 2025</a:t>
            </a:r>
          </a:p>
        </c:rich>
      </c:tx>
      <c:overlay val="0"/>
      <c:spPr>
        <a:noFill/>
        <a:ln>
          <a:noFill/>
        </a:ln>
        <a:effectLst/>
      </c:spPr>
      <c:txPr>
        <a:bodyPr rot="0" spcFirstLastPara="1" vertOverflow="ellipsis" vert="horz" wrap="square" anchor="ctr" anchorCtr="1"/>
        <a:lstStyle/>
        <a:p>
          <a:pPr>
            <a:defRPr sz="1600" b="1" i="0" u="none" strike="noStrike" kern="1200" cap="all" baseline="0">
              <a:solidFill>
                <a:sysClr val="windowText" lastClr="000000"/>
              </a:solidFill>
              <a:latin typeface="Book Antiqua" panose="02040602050305030304" pitchFamily="18" charset="0"/>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explosion val="52"/>
          <c:dPt>
            <c:idx val="0"/>
            <c:bubble3D val="0"/>
            <c:explosion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5CEE-4CD3-8320-2997AF043B5A}"/>
              </c:ext>
            </c:extLst>
          </c:dPt>
          <c:dPt>
            <c:idx val="1"/>
            <c:bubble3D val="0"/>
            <c:explosion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5CEE-4CD3-8320-2997AF043B5A}"/>
              </c:ext>
            </c:extLst>
          </c:dPt>
          <c:dPt>
            <c:idx val="2"/>
            <c:bubble3D val="0"/>
            <c:explosion val="4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5CEE-4CD3-8320-2997AF043B5A}"/>
              </c:ext>
            </c:extLst>
          </c:dPt>
          <c:dPt>
            <c:idx val="3"/>
            <c:bubble3D val="0"/>
            <c:explosion val="4"/>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5CEE-4CD3-8320-2997AF043B5A}"/>
              </c:ext>
            </c:extLst>
          </c:dPt>
          <c:dPt>
            <c:idx val="4"/>
            <c:bubble3D val="0"/>
            <c:explosion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5CEE-4CD3-8320-2997AF043B5A}"/>
              </c:ext>
            </c:extLst>
          </c:dPt>
          <c:dPt>
            <c:idx val="5"/>
            <c:bubble3D val="0"/>
            <c:explosion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5CEE-4CD3-8320-2997AF043B5A}"/>
              </c:ext>
            </c:extLst>
          </c:dPt>
          <c:dLbls>
            <c:dLbl>
              <c:idx val="0"/>
              <c:numFmt formatCode="0.00%" sourceLinked="0"/>
              <c:spPr>
                <a:noFill/>
                <a:ln>
                  <a:noFill/>
                </a:ln>
                <a:effectLst/>
              </c:spPr>
              <c:txPr>
                <a:bodyPr rot="0" spcFirstLastPara="1" vertOverflow="ellipsis" vert="horz" wrap="square" anchor="ctr" anchorCtr="1"/>
                <a:lstStyle/>
                <a:p>
                  <a:pPr>
                    <a:defRPr sz="18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1-5CEE-4CD3-8320-2997AF043B5A}"/>
                </c:ext>
              </c:extLst>
            </c:dLbl>
            <c:dLbl>
              <c:idx val="1"/>
              <c:layout>
                <c:manualLayout>
                  <c:x val="7.92830118854599E-3"/>
                  <c:y val="5.5267708948930024E-2"/>
                </c:manualLayout>
              </c:layout>
              <c:numFmt formatCode="0.00%" sourceLinked="0"/>
              <c:spPr>
                <a:noFill/>
                <a:ln>
                  <a:noFill/>
                </a:ln>
                <a:effectLst/>
              </c:spPr>
              <c:txPr>
                <a:bodyPr rot="0" spcFirstLastPara="1" vertOverflow="ellipsis" vert="horz" wrap="square" anchor="ctr" anchorCtr="1"/>
                <a:lstStyle/>
                <a:p>
                  <a:pPr>
                    <a:defRPr sz="1800" b="1" i="0" u="none" strike="noStrike" kern="1200" spc="0" baseline="0">
                      <a:solidFill>
                        <a:schemeClr val="tx1"/>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5CEE-4CD3-8320-2997AF043B5A}"/>
                </c:ext>
              </c:extLst>
            </c:dLbl>
            <c:dLbl>
              <c:idx val="2"/>
              <c:numFmt formatCode="0.00%" sourceLinked="0"/>
              <c:spPr>
                <a:noFill/>
                <a:ln>
                  <a:noFill/>
                </a:ln>
                <a:effectLst/>
              </c:spPr>
              <c:txPr>
                <a:bodyPr rot="0" spcFirstLastPara="1" vertOverflow="ellipsis" vert="horz" wrap="square" anchor="ctr" anchorCtr="1"/>
                <a:lstStyle/>
                <a:p>
                  <a:pPr>
                    <a:defRPr sz="18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5-5CEE-4CD3-8320-2997AF043B5A}"/>
                </c:ext>
              </c:extLst>
            </c:dLbl>
            <c:dLbl>
              <c:idx val="3"/>
              <c:numFmt formatCode="0.00%" sourceLinked="0"/>
              <c:spPr>
                <a:noFill/>
                <a:ln>
                  <a:noFill/>
                </a:ln>
                <a:effectLst/>
              </c:spPr>
              <c:txPr>
                <a:bodyPr rot="0" spcFirstLastPara="1" vertOverflow="ellipsis" vert="horz" wrap="square" anchor="ctr" anchorCtr="1"/>
                <a:lstStyle/>
                <a:p>
                  <a:pPr>
                    <a:defRPr sz="18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7-5CEE-4CD3-8320-2997AF043B5A}"/>
                </c:ext>
              </c:extLst>
            </c:dLbl>
            <c:dLbl>
              <c:idx val="4"/>
              <c:layout>
                <c:manualLayout>
                  <c:x val="-0.17600828638572097"/>
                  <c:y val="0.10500864700296707"/>
                </c:manualLayout>
              </c:layout>
              <c:numFmt formatCode="0.00%" sourceLinked="0"/>
              <c:spPr>
                <a:noFill/>
                <a:ln>
                  <a:noFill/>
                </a:ln>
                <a:effectLst/>
              </c:spPr>
              <c:txPr>
                <a:bodyPr rot="0" spcFirstLastPara="1" vertOverflow="ellipsis" vert="horz" wrap="square" anchor="ctr" anchorCtr="1"/>
                <a:lstStyle/>
                <a:p>
                  <a:pPr>
                    <a:defRPr sz="1800" b="1" i="0" u="none" strike="noStrike" kern="1200" spc="0" baseline="0">
                      <a:solidFill>
                        <a:schemeClr val="tx1"/>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5CEE-4CD3-8320-2997AF043B5A}"/>
                </c:ext>
              </c:extLst>
            </c:dLbl>
            <c:dLbl>
              <c:idx val="5"/>
              <c:layout>
                <c:manualLayout>
                  <c:x val="7.4526031172332308E-2"/>
                  <c:y val="-5.5267708948930029E-3"/>
                </c:manualLayout>
              </c:layout>
              <c:numFmt formatCode="0.00%" sourceLinked="0"/>
              <c:spPr>
                <a:noFill/>
                <a:ln>
                  <a:noFill/>
                </a:ln>
                <a:effectLst/>
              </c:spPr>
              <c:txPr>
                <a:bodyPr rot="0" spcFirstLastPara="1" vertOverflow="ellipsis" vert="horz" wrap="square" anchor="ctr" anchorCtr="1"/>
                <a:lstStyle/>
                <a:p>
                  <a:pPr>
                    <a:defRPr sz="1800" b="1" i="0" u="none" strike="noStrike" kern="1200" spc="0" baseline="0">
                      <a:solidFill>
                        <a:schemeClr val="tx1"/>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5CEE-4CD3-8320-2997AF043B5A}"/>
                </c:ext>
              </c:extLst>
            </c:dLbl>
            <c:numFmt formatCode="0.00%" sourceLinked="0"/>
            <c:spPr>
              <a:noFill/>
              <a:ln>
                <a:noFill/>
              </a:ln>
              <a:effectLst/>
            </c:spPr>
            <c:txPr>
              <a:bodyPr rot="0" spcFirstLastPara="1" vertOverflow="ellipsis" vert="horz" wrap="square" anchor="ctr" anchorCtr="1"/>
              <a:lstStyle/>
              <a:p>
                <a:pPr>
                  <a:defRPr sz="18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'1.12'!$AD$54:$AI$54</c:f>
              <c:strCache>
                <c:ptCount val="6"/>
                <c:pt idx="0">
                  <c:v>Oil</c:v>
                </c:pt>
                <c:pt idx="1">
                  <c:v>Natural Gas</c:v>
                </c:pt>
                <c:pt idx="2">
                  <c:v>Coal</c:v>
                </c:pt>
                <c:pt idx="3">
                  <c:v>Nuclear Energy</c:v>
                </c:pt>
                <c:pt idx="4">
                  <c:v>Hydro Electricity</c:v>
                </c:pt>
                <c:pt idx="5">
                  <c:v>Renewables</c:v>
                </c:pt>
              </c:strCache>
            </c:strRef>
          </c:cat>
          <c:val>
            <c:numRef>
              <c:f>'1.12'!$AD$55:$AI$55</c:f>
              <c:numCache>
                <c:formatCode>0.00</c:formatCode>
                <c:ptCount val="6"/>
                <c:pt idx="0">
                  <c:v>260.15238314735126</c:v>
                </c:pt>
                <c:pt idx="1">
                  <c:v>57.239129759743449</c:v>
                </c:pt>
                <c:pt idx="2">
                  <c:v>551.04306354685593</c:v>
                </c:pt>
                <c:pt idx="3">
                  <c:v>14.022110661228437</c:v>
                </c:pt>
                <c:pt idx="4">
                  <c:v>15.322593277180427</c:v>
                </c:pt>
                <c:pt idx="5">
                  <c:v>36.090913170975085</c:v>
                </c:pt>
              </c:numCache>
            </c:numRef>
          </c:val>
          <c:extLst>
            <c:ext xmlns:c16="http://schemas.microsoft.com/office/drawing/2014/chart" uri="{C3380CC4-5D6E-409C-BE32-E72D297353CC}">
              <c16:uniqueId val="{0000000C-5CEE-4CD3-8320-2997AF043B5A}"/>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F5E0B5"/>
    </a:solidFill>
    <a:ln w="9525" cap="flat" cmpd="sng" algn="ctr">
      <a:solidFill>
        <a:schemeClr val="accent4">
          <a:lumMod val="50000"/>
        </a:schemeClr>
      </a:solidFill>
      <a:round/>
    </a:ln>
    <a:effectLst/>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n-IN"/>
              <a:t>China</a:t>
            </a:r>
          </a:p>
        </c:rich>
      </c:tx>
      <c:layout>
        <c:manualLayout>
          <c:xMode val="edge"/>
          <c:yMode val="edge"/>
          <c:x val="0.81270777161870089"/>
          <c:y val="5.2767968181330685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dPt>
            <c:idx val="0"/>
            <c:bubble3D val="0"/>
            <c:spPr>
              <a:solidFill>
                <a:schemeClr val="accent1"/>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D4FD-4BBB-AA52-BCEE3DEBDF27}"/>
              </c:ext>
            </c:extLst>
          </c:dPt>
          <c:dPt>
            <c:idx val="1"/>
            <c:bubble3D val="0"/>
            <c:spPr>
              <a:solidFill>
                <a:schemeClr val="accent2"/>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4-D4FD-4BBB-AA52-BCEE3DEBDF27}"/>
              </c:ext>
            </c:extLst>
          </c:dPt>
          <c:dPt>
            <c:idx val="2"/>
            <c:bubble3D val="0"/>
            <c:spPr>
              <a:solidFill>
                <a:schemeClr val="accent3"/>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D4FD-4BBB-AA52-BCEE3DEBDF27}"/>
              </c:ext>
            </c:extLst>
          </c:dPt>
          <c:dPt>
            <c:idx val="3"/>
            <c:bubble3D val="0"/>
            <c:spPr>
              <a:solidFill>
                <a:schemeClr val="accent4"/>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D4FD-4BBB-AA52-BCEE3DEBDF27}"/>
              </c:ext>
            </c:extLst>
          </c:dPt>
          <c:dPt>
            <c:idx val="4"/>
            <c:bubble3D val="0"/>
            <c:spPr>
              <a:solidFill>
                <a:schemeClr val="accent5"/>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2-D4FD-4BBB-AA52-BCEE3DEBDF27}"/>
              </c:ext>
            </c:extLst>
          </c:dPt>
          <c:dPt>
            <c:idx val="5"/>
            <c:bubble3D val="0"/>
            <c:spPr>
              <a:solidFill>
                <a:schemeClr val="accent6"/>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6-D4FD-4BBB-AA52-BCEE3DEBDF27}"/>
              </c:ext>
            </c:extLst>
          </c:dPt>
          <c:dLbls>
            <c:dLbl>
              <c:idx val="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en-US"/>
                </a:p>
              </c:txPr>
              <c:dLblPos val="outEnd"/>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4FD-4BBB-AA52-BCEE3DEBDF27}"/>
                </c:ext>
              </c:extLst>
            </c:dLbl>
            <c:dLbl>
              <c:idx val="1"/>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n-US"/>
                </a:p>
              </c:txPr>
              <c:dLblPos val="outEnd"/>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4FD-4BBB-AA52-BCEE3DEBDF27}"/>
                </c:ext>
              </c:extLst>
            </c:dLbl>
            <c:dLbl>
              <c:idx val="2"/>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en-US"/>
                </a:p>
              </c:txPr>
              <c:dLblPos val="outEnd"/>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4FD-4BBB-AA52-BCEE3DEBDF27}"/>
                </c:ext>
              </c:extLst>
            </c:dLbl>
            <c:dLbl>
              <c:idx val="3"/>
              <c:layout>
                <c:manualLayout>
                  <c:x val="-7.2032356059258076E-2"/>
                  <c:y val="3.6277978124664816E-2"/>
                </c:manualLayout>
              </c:layout>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n-US"/>
                </a:p>
              </c:txPr>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1-D4FD-4BBB-AA52-BCEE3DEBDF27}"/>
                </c:ext>
              </c:extLst>
            </c:dLbl>
            <c:dLbl>
              <c:idx val="4"/>
              <c:layout>
                <c:manualLayout>
                  <c:x val="-9.2613029219046114E-2"/>
                  <c:y val="0"/>
                </c:manualLayout>
              </c:layout>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5"/>
                      </a:solidFill>
                      <a:latin typeface="+mn-lt"/>
                      <a:ea typeface="+mn-ea"/>
                      <a:cs typeface="+mn-cs"/>
                    </a:defRPr>
                  </a:pPr>
                  <a:endParaRPr lang="en-US"/>
                </a:p>
              </c:txPr>
              <c:dLblPos val="bestFit"/>
              <c:showLegendKey val="0"/>
              <c:showVal val="1"/>
              <c:showCatName val="1"/>
              <c:showSerName val="0"/>
              <c:showPercent val="0"/>
              <c:showBubbleSize val="0"/>
              <c:separator>
</c:separator>
              <c:extLst>
                <c:ext xmlns:c15="http://schemas.microsoft.com/office/drawing/2012/chart" uri="{CE6537A1-D6FC-4f65-9D91-7224C49458BB}"/>
                <c:ext xmlns:c16="http://schemas.microsoft.com/office/drawing/2014/chart" uri="{C3380CC4-5D6E-409C-BE32-E72D297353CC}">
                  <c16:uniqueId val="{00000002-D4FD-4BBB-AA52-BCEE3DEBDF27}"/>
                </c:ext>
              </c:extLst>
            </c:dLbl>
            <c:dLbl>
              <c:idx val="5"/>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n-US"/>
                </a:p>
              </c:txPr>
              <c:dLblPos val="outEnd"/>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6-D4FD-4BBB-AA52-BCEE3DEBDF27}"/>
                </c:ext>
              </c:extLst>
            </c:dLbl>
            <c:spPr>
              <a:noFill/>
              <a:ln>
                <a:noFill/>
              </a:ln>
              <a:effectLst/>
            </c:spPr>
            <c:dLblPos val="outEnd"/>
            <c:showLegendKey val="0"/>
            <c:showVal val="1"/>
            <c:showCatName val="1"/>
            <c:showSerName val="0"/>
            <c:showPercent val="0"/>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'1.2'!$E$3:$J$3</c:f>
              <c:strCache>
                <c:ptCount val="6"/>
                <c:pt idx="0">
                  <c:v>Oil</c:v>
                </c:pt>
                <c:pt idx="1">
                  <c:v>Natural Gas</c:v>
                </c:pt>
                <c:pt idx="2">
                  <c:v>Coal</c:v>
                </c:pt>
                <c:pt idx="3">
                  <c:v>Nuclear Energy</c:v>
                </c:pt>
                <c:pt idx="4">
                  <c:v>Hydro Electricity</c:v>
                </c:pt>
                <c:pt idx="5">
                  <c:v>Renewables</c:v>
                </c:pt>
              </c:strCache>
            </c:strRef>
          </c:cat>
          <c:val>
            <c:numRef>
              <c:f>'1.2'!$E$5:$J$5</c:f>
              <c:numCache>
                <c:formatCode>0.0%</c:formatCode>
                <c:ptCount val="6"/>
                <c:pt idx="0">
                  <c:v>0.20867085649671316</c:v>
                </c:pt>
                <c:pt idx="1">
                  <c:v>9.8090405092262023E-2</c:v>
                </c:pt>
                <c:pt idx="2">
                  <c:v>0.56869510318935779</c:v>
                </c:pt>
                <c:pt idx="3">
                  <c:v>3.2636466079721455E-2</c:v>
                </c:pt>
                <c:pt idx="4">
                  <c:v>3.0899946335066479E-2</c:v>
                </c:pt>
                <c:pt idx="5">
                  <c:v>6.1007231985566193E-2</c:v>
                </c:pt>
              </c:numCache>
            </c:numRef>
          </c:val>
          <c:extLst>
            <c:ext xmlns:c16="http://schemas.microsoft.com/office/drawing/2014/chart" uri="{C3380CC4-5D6E-409C-BE32-E72D297353CC}">
              <c16:uniqueId val="{00000000-D4FD-4BBB-AA52-BCEE3DEBDF27}"/>
            </c:ext>
          </c:extLst>
        </c:ser>
        <c:dLbls>
          <c:dLblPos val="outEnd"/>
          <c:showLegendKey val="0"/>
          <c:showVal val="0"/>
          <c:showCatName val="1"/>
          <c:showSerName val="0"/>
          <c:showPercent val="0"/>
          <c:showBubbleSize val="0"/>
          <c:showLeaderLines val="1"/>
        </c:dLbls>
        <c:firstSliceAng val="0"/>
      </c:pie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orientation="landscape" horizontalDpi="300" verticalDpi="300"/>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n-IN"/>
              <a:t>USA</a:t>
            </a:r>
          </a:p>
        </c:rich>
      </c:tx>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dPt>
            <c:idx val="0"/>
            <c:bubble3D val="0"/>
            <c:spPr>
              <a:solidFill>
                <a:schemeClr val="accent1"/>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4-E256-4409-995B-6249511B15CA}"/>
              </c:ext>
            </c:extLst>
          </c:dPt>
          <c:dPt>
            <c:idx val="1"/>
            <c:bubble3D val="0"/>
            <c:spPr>
              <a:solidFill>
                <a:schemeClr val="accent2"/>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E256-4409-995B-6249511B15CA}"/>
              </c:ext>
            </c:extLst>
          </c:dPt>
          <c:dPt>
            <c:idx val="2"/>
            <c:bubble3D val="0"/>
            <c:spPr>
              <a:solidFill>
                <a:schemeClr val="accent3"/>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6-E256-4409-995B-6249511B15CA}"/>
              </c:ext>
            </c:extLst>
          </c:dPt>
          <c:dPt>
            <c:idx val="3"/>
            <c:bubble3D val="0"/>
            <c:spPr>
              <a:solidFill>
                <a:schemeClr val="accent4"/>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E256-4409-995B-6249511B15CA}"/>
              </c:ext>
            </c:extLst>
          </c:dPt>
          <c:dPt>
            <c:idx val="4"/>
            <c:bubble3D val="0"/>
            <c:spPr>
              <a:solidFill>
                <a:schemeClr val="accent5"/>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E256-4409-995B-6249511B15CA}"/>
              </c:ext>
            </c:extLst>
          </c:dPt>
          <c:dPt>
            <c:idx val="5"/>
            <c:bubble3D val="0"/>
            <c:spPr>
              <a:solidFill>
                <a:schemeClr val="accent6"/>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2-E256-4409-995B-6249511B15CA}"/>
              </c:ext>
            </c:extLst>
          </c:dPt>
          <c:dLbls>
            <c:dLbl>
              <c:idx val="0"/>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4-E256-4409-995B-6249511B15CA}"/>
                </c:ext>
              </c:extLst>
            </c:dLbl>
            <c:dLbl>
              <c:idx val="1"/>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5-E256-4409-995B-6249511B15CA}"/>
                </c:ext>
              </c:extLst>
            </c:dLbl>
            <c:dLbl>
              <c:idx val="2"/>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6-E256-4409-995B-6249511B15CA}"/>
                </c:ext>
              </c:extLst>
            </c:dLbl>
            <c:dLbl>
              <c:idx val="3"/>
              <c:layout>
                <c:manualLayout>
                  <c:x val="-4.6764094932953817E-2"/>
                  <c:y val="1.338112255501472E-2"/>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E256-4409-995B-6249511B15CA}"/>
                </c:ext>
              </c:extLst>
            </c:dLbl>
            <c:dLbl>
              <c:idx val="4"/>
              <c:layout>
                <c:manualLayout>
                  <c:x val="-4.481559097741411E-2"/>
                  <c:y val="0"/>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5"/>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E256-4409-995B-6249511B15CA}"/>
                </c:ext>
              </c:extLst>
            </c:dLbl>
            <c:dLbl>
              <c:idx val="5"/>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layout>
                    <c:manualLayout>
                      <c:w val="0.15685456842094928"/>
                      <c:h val="9.1694142308238372E-2"/>
                    </c:manualLayout>
                  </c15:layout>
                </c:ext>
                <c:ext xmlns:c16="http://schemas.microsoft.com/office/drawing/2014/chart" uri="{C3380CC4-5D6E-409C-BE32-E72D297353CC}">
                  <c16:uniqueId val="{00000002-E256-4409-995B-6249511B15CA}"/>
                </c:ext>
              </c:extLst>
            </c:dLbl>
            <c:numFmt formatCode="0.0%" sourceLinked="0"/>
            <c:spPr>
              <a:noFill/>
              <a:ln>
                <a:noFill/>
              </a:ln>
              <a:effectLst/>
            </c:sp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'1.2'!$E$3:$J$3</c:f>
              <c:strCache>
                <c:ptCount val="6"/>
                <c:pt idx="0">
                  <c:v>Oil</c:v>
                </c:pt>
                <c:pt idx="1">
                  <c:v>Natural Gas</c:v>
                </c:pt>
                <c:pt idx="2">
                  <c:v>Coal</c:v>
                </c:pt>
                <c:pt idx="3">
                  <c:v>Nuclear Energy</c:v>
                </c:pt>
                <c:pt idx="4">
                  <c:v>Hydro Electricity</c:v>
                </c:pt>
                <c:pt idx="5">
                  <c:v>Renewables</c:v>
                </c:pt>
              </c:strCache>
            </c:strRef>
          </c:cat>
          <c:val>
            <c:numRef>
              <c:f>'1.2'!$E$8:$J$8</c:f>
              <c:numCache>
                <c:formatCode>0.0%</c:formatCode>
                <c:ptCount val="6"/>
                <c:pt idx="0">
                  <c:v>0.38819714004409106</c:v>
                </c:pt>
                <c:pt idx="1">
                  <c:v>0.35046832825040591</c:v>
                </c:pt>
                <c:pt idx="2">
                  <c:v>9.3042889977834262E-2</c:v>
                </c:pt>
                <c:pt idx="3">
                  <c:v>9.6045690973192474E-2</c:v>
                </c:pt>
                <c:pt idx="4">
                  <c:v>9.3672829018162079E-3</c:v>
                </c:pt>
                <c:pt idx="5">
                  <c:v>6.2878650311680911E-2</c:v>
                </c:pt>
              </c:numCache>
            </c:numRef>
          </c:val>
          <c:extLst>
            <c:ext xmlns:c16="http://schemas.microsoft.com/office/drawing/2014/chart" uri="{C3380CC4-5D6E-409C-BE32-E72D297353CC}">
              <c16:uniqueId val="{00000000-E256-4409-995B-6249511B15CA}"/>
            </c:ext>
          </c:extLst>
        </c:ser>
        <c:dLbls>
          <c:dLblPos val="outEnd"/>
          <c:showLegendKey val="0"/>
          <c:showVal val="0"/>
          <c:showCatName val="1"/>
          <c:showSerName val="0"/>
          <c:showPercent val="0"/>
          <c:showBubbleSize val="0"/>
          <c:showLeaderLines val="1"/>
        </c:dLbls>
        <c:firstSliceAng val="0"/>
      </c:pie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n-IN"/>
              <a:t>World</a:t>
            </a:r>
          </a:p>
        </c:rich>
      </c:tx>
      <c:layout>
        <c:manualLayout>
          <c:xMode val="edge"/>
          <c:yMode val="edge"/>
          <c:x val="0.82876099471316311"/>
          <c:y val="6.3885258530490541E-2"/>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dPt>
            <c:idx val="0"/>
            <c:bubble3D val="0"/>
            <c:spPr>
              <a:solidFill>
                <a:schemeClr val="accent1"/>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2-9FBC-4B71-9C1B-5D268BCA923F}"/>
              </c:ext>
            </c:extLst>
          </c:dPt>
          <c:dPt>
            <c:idx val="1"/>
            <c:bubble3D val="0"/>
            <c:spPr>
              <a:solidFill>
                <a:schemeClr val="accent2"/>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9FBC-4B71-9C1B-5D268BCA923F}"/>
              </c:ext>
            </c:extLst>
          </c:dPt>
          <c:dPt>
            <c:idx val="2"/>
            <c:bubble3D val="0"/>
            <c:spPr>
              <a:solidFill>
                <a:schemeClr val="accent3"/>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4-9FBC-4B71-9C1B-5D268BCA923F}"/>
              </c:ext>
            </c:extLst>
          </c:dPt>
          <c:dPt>
            <c:idx val="3"/>
            <c:bubble3D val="0"/>
            <c:spPr>
              <a:solidFill>
                <a:schemeClr val="accent4"/>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9FBC-4B71-9C1B-5D268BCA923F}"/>
              </c:ext>
            </c:extLst>
          </c:dPt>
          <c:dPt>
            <c:idx val="4"/>
            <c:bubble3D val="0"/>
            <c:spPr>
              <a:solidFill>
                <a:schemeClr val="accent5"/>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9FBC-4B71-9C1B-5D268BCA923F}"/>
              </c:ext>
            </c:extLst>
          </c:dPt>
          <c:dPt>
            <c:idx val="5"/>
            <c:bubble3D val="0"/>
            <c:spPr>
              <a:solidFill>
                <a:schemeClr val="accent6"/>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6-9FBC-4B71-9C1B-5D268BCA923F}"/>
              </c:ext>
            </c:extLst>
          </c:dPt>
          <c:dLbls>
            <c:dLbl>
              <c:idx val="0"/>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2-9FBC-4B71-9C1B-5D268BCA923F}"/>
                </c:ext>
              </c:extLst>
            </c:dLbl>
            <c:dLbl>
              <c:idx val="1"/>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3-9FBC-4B71-9C1B-5D268BCA923F}"/>
                </c:ext>
              </c:extLst>
            </c:dLbl>
            <c:dLbl>
              <c:idx val="2"/>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4-9FBC-4B71-9C1B-5D268BCA923F}"/>
                </c:ext>
              </c:extLst>
            </c:dLbl>
            <c:dLbl>
              <c:idx val="3"/>
              <c:layout>
                <c:manualLayout>
                  <c:x val="-4.9278416534701379E-2"/>
                  <c:y val="1.5210775840592985E-2"/>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FBC-4B71-9C1B-5D268BCA923F}"/>
                </c:ext>
              </c:extLst>
            </c:dLbl>
            <c:dLbl>
              <c:idx val="4"/>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5"/>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5-9FBC-4B71-9C1B-5D268BCA923F}"/>
                </c:ext>
              </c:extLst>
            </c:dLbl>
            <c:dLbl>
              <c:idx val="5"/>
              <c:numFmt formatCode="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6-9FBC-4B71-9C1B-5D268BCA923F}"/>
                </c:ext>
              </c:extLst>
            </c:dLbl>
            <c:numFmt formatCode="0.0%" sourceLinked="0"/>
            <c:spPr>
              <a:noFill/>
              <a:ln>
                <a:noFill/>
              </a:ln>
              <a:effectLst/>
            </c:sp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'1.2'!$E$3:$J$3</c:f>
              <c:strCache>
                <c:ptCount val="6"/>
                <c:pt idx="0">
                  <c:v>Oil</c:v>
                </c:pt>
                <c:pt idx="1">
                  <c:v>Natural Gas</c:v>
                </c:pt>
                <c:pt idx="2">
                  <c:v>Coal</c:v>
                </c:pt>
                <c:pt idx="3">
                  <c:v>Nuclear Energy</c:v>
                </c:pt>
                <c:pt idx="4">
                  <c:v>Hydro Electricity</c:v>
                </c:pt>
                <c:pt idx="5">
                  <c:v>Renewables</c:v>
                </c:pt>
              </c:strCache>
            </c:strRef>
          </c:cat>
          <c:val>
            <c:numRef>
              <c:f>'1.2'!$E$49:$J$49</c:f>
              <c:numCache>
                <c:formatCode>0.0%</c:formatCode>
                <c:ptCount val="6"/>
                <c:pt idx="0">
                  <c:v>0.33478044317601718</c:v>
                </c:pt>
                <c:pt idx="1">
                  <c:v>0.25103117679675435</c:v>
                </c:pt>
                <c:pt idx="2">
                  <c:v>0.27657275476770177</c:v>
                </c:pt>
                <c:pt idx="3">
                  <c:v>5.1707431206702077E-2</c:v>
                </c:pt>
                <c:pt idx="4">
                  <c:v>2.6860969037824919E-2</c:v>
                </c:pt>
                <c:pt idx="5">
                  <c:v>5.904722342198751E-2</c:v>
                </c:pt>
              </c:numCache>
            </c:numRef>
          </c:val>
          <c:extLst>
            <c:ext xmlns:c16="http://schemas.microsoft.com/office/drawing/2014/chart" uri="{C3380CC4-5D6E-409C-BE32-E72D297353CC}">
              <c16:uniqueId val="{00000000-9FBC-4B71-9C1B-5D268BCA923F}"/>
            </c:ext>
          </c:extLst>
        </c:ser>
        <c:dLbls>
          <c:dLblPos val="outEnd"/>
          <c:showLegendKey val="0"/>
          <c:showVal val="0"/>
          <c:showCatName val="1"/>
          <c:showSerName val="0"/>
          <c:showPercent val="0"/>
          <c:showBubbleSize val="0"/>
          <c:showLeaderLines val="1"/>
        </c:dLbls>
        <c:firstSliceAng val="0"/>
      </c:pie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Book Antiqua" panose="02040602050305030304" pitchFamily="18" charset="0"/>
                <a:ea typeface="+mn-ea"/>
                <a:cs typeface="+mn-cs"/>
              </a:defRPr>
            </a:pPr>
            <a:r>
              <a:rPr lang="en-US"/>
              <a:t>Net domestic production for sales (MMSCM) </a:t>
            </a:r>
          </a:p>
        </c:rich>
      </c:tx>
      <c:layout>
        <c:manualLayout>
          <c:xMode val="edge"/>
          <c:yMode val="edge"/>
          <c:x val="0.29492620145038945"/>
          <c:y val="0"/>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Book Antiqua" panose="02040602050305030304" pitchFamily="18" charset="0"/>
              <a:ea typeface="+mn-ea"/>
              <a:cs typeface="+mn-cs"/>
            </a:defRPr>
          </a:pPr>
          <a:endParaRPr lang="en-US"/>
        </a:p>
      </c:txPr>
    </c:title>
    <c:autoTitleDeleted val="0"/>
    <c:plotArea>
      <c:layout/>
      <c:lineChart>
        <c:grouping val="standard"/>
        <c:varyColors val="0"/>
        <c:ser>
          <c:idx val="0"/>
          <c:order val="0"/>
          <c:spPr>
            <a:ln w="28575" cap="rnd">
              <a:solidFill>
                <a:schemeClr val="accent1"/>
              </a:solidFill>
              <a:round/>
            </a:ln>
            <a:effectLst/>
          </c:spPr>
          <c:marker>
            <c:symbol val="circle"/>
            <c:size val="5"/>
            <c:spPr>
              <a:solidFill>
                <a:schemeClr val="accent1"/>
              </a:solidFill>
              <a:ln w="9525">
                <a:solidFill>
                  <a:schemeClr val="accent1"/>
                </a:solidFill>
              </a:ln>
              <a:effectLst/>
            </c:spPr>
          </c:marker>
          <c:dLbls>
            <c:numFmt formatCode="#,##0" sourceLinked="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#REF!</c:f>
              <c:numCache>
                <c:formatCode>General</c:formatCode>
                <c:ptCount val="1"/>
                <c:pt idx="0">
                  <c:v>1</c:v>
                </c:pt>
              </c:numCache>
            </c:numRef>
          </c:val>
          <c:smooth val="0"/>
          <c:extLs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0-49C0-4622-9AA9-890FD803FE33}"/>
            </c:ext>
          </c:extLst>
        </c:ser>
        <c:ser>
          <c:idx val="1"/>
          <c:order val="1"/>
          <c:spPr>
            <a:ln w="28575" cap="rnd">
              <a:solidFill>
                <a:schemeClr val="accent2"/>
              </a:solidFill>
              <a:round/>
            </a:ln>
            <a:effectLst/>
          </c:spPr>
          <c:marker>
            <c:symbol val="circle"/>
            <c:size val="5"/>
            <c:spPr>
              <a:solidFill>
                <a:schemeClr val="accent2"/>
              </a:solidFill>
              <a:ln w="9525">
                <a:solidFill>
                  <a:schemeClr val="accent2"/>
                </a:solidFill>
              </a:ln>
              <a:effectLst/>
            </c:spPr>
          </c:marker>
          <c:dLbls>
            <c:numFmt formatCode="#,##0" sourceLinked="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#REF!</c:f>
              <c:numCache>
                <c:formatCode>General</c:formatCode>
                <c:ptCount val="1"/>
                <c:pt idx="0">
                  <c:v>1</c:v>
                </c:pt>
              </c:numCache>
            </c:numRef>
          </c:val>
          <c:smooth val="0"/>
          <c:extLs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1-49C0-4622-9AA9-890FD803FE33}"/>
            </c:ext>
          </c:extLst>
        </c:ser>
        <c:ser>
          <c:idx val="2"/>
          <c:order val="2"/>
          <c:spPr>
            <a:ln w="28575" cap="rnd">
              <a:solidFill>
                <a:schemeClr val="accent3"/>
              </a:solidFill>
              <a:round/>
            </a:ln>
            <a:effectLst/>
          </c:spPr>
          <c:marker>
            <c:symbol val="circle"/>
            <c:size val="5"/>
            <c:spPr>
              <a:solidFill>
                <a:schemeClr val="accent3"/>
              </a:solidFill>
              <a:ln w="9525">
                <a:solidFill>
                  <a:schemeClr val="accent3"/>
                </a:solidFill>
              </a:ln>
              <a:effectLst/>
            </c:spPr>
          </c:marker>
          <c:dLbls>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#REF!</c:f>
              <c:numCache>
                <c:formatCode>General</c:formatCode>
                <c:ptCount val="1"/>
                <c:pt idx="0">
                  <c:v>1</c:v>
                </c:pt>
              </c:numCache>
            </c:numRef>
          </c:val>
          <c:smooth val="0"/>
          <c:extLs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2-49C0-4622-9AA9-890FD803FE33}"/>
            </c:ext>
          </c:extLst>
        </c:ser>
        <c:ser>
          <c:idx val="3"/>
          <c:order val="3"/>
          <c:spPr>
            <a:ln w="28575" cap="rnd">
              <a:solidFill>
                <a:schemeClr val="accent4"/>
              </a:solidFill>
              <a:round/>
            </a:ln>
            <a:effectLst/>
          </c:spPr>
          <c:marker>
            <c:symbol val="circle"/>
            <c:size val="5"/>
            <c:spPr>
              <a:solidFill>
                <a:schemeClr val="accent4"/>
              </a:solidFill>
              <a:ln w="9525">
                <a:solidFill>
                  <a:schemeClr val="accent4"/>
                </a:solidFill>
              </a:ln>
              <a:effectLst/>
            </c:spPr>
          </c:marker>
          <c:dLbls>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#REF!</c:f>
              <c:numCache>
                <c:formatCode>General</c:formatCode>
                <c:ptCount val="1"/>
                <c:pt idx="0">
                  <c:v>1</c:v>
                </c:pt>
              </c:numCache>
            </c:numRef>
          </c:val>
          <c:smooth val="0"/>
          <c:extLs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3-49C0-4622-9AA9-890FD803FE33}"/>
            </c:ext>
          </c:extLst>
        </c:ser>
        <c:dLbls>
          <c:dLblPos val="ctr"/>
          <c:showLegendKey val="0"/>
          <c:showVal val="1"/>
          <c:showCatName val="0"/>
          <c:showSerName val="0"/>
          <c:showPercent val="0"/>
          <c:showBubbleSize val="0"/>
        </c:dLbls>
        <c:marker val="1"/>
        <c:smooth val="0"/>
        <c:axId val="1237285039"/>
        <c:axId val="1237285455"/>
      </c:lineChart>
      <c:catAx>
        <c:axId val="123728503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1800000" spcFirstLastPara="1" vertOverflow="ellipsis"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en-US"/>
          </a:p>
        </c:txPr>
        <c:crossAx val="1237285455"/>
        <c:crosses val="autoZero"/>
        <c:auto val="1"/>
        <c:lblAlgn val="ctr"/>
        <c:lblOffset val="100"/>
        <c:noMultiLvlLbl val="0"/>
      </c:catAx>
      <c:valAx>
        <c:axId val="1237285455"/>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en-US"/>
          </a:p>
        </c:txPr>
        <c:crossAx val="1237285039"/>
        <c:crosses val="autoZero"/>
        <c:crossBetween val="between"/>
        <c:majorUnit val="3000"/>
        <c:minorUnit val="500"/>
      </c:valAx>
      <c:spPr>
        <a:solidFill>
          <a:schemeClr val="accent4">
            <a:lumMod val="20000"/>
            <a:lumOff val="80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Book Antiqua" panose="02040602050305030304" pitchFamily="18"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40000"/>
        <a:lumOff val="60000"/>
      </a:schemeClr>
    </a:solidFill>
    <a:ln w="9525" cap="flat" cmpd="sng" algn="ctr">
      <a:solidFill>
        <a:schemeClr val="tx1">
          <a:lumMod val="15000"/>
          <a:lumOff val="85000"/>
        </a:schemeClr>
      </a:solidFill>
      <a:round/>
    </a:ln>
    <a:effectLst/>
  </c:spPr>
  <c:txPr>
    <a:bodyPr/>
    <a:lstStyle/>
    <a:p>
      <a:pPr>
        <a:defRPr>
          <a:solidFill>
            <a:sysClr val="windowText" lastClr="000000"/>
          </a:solidFill>
          <a:latin typeface="Book Antiqua" panose="02040602050305030304" pitchFamily="18" charset="0"/>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cap="none" spc="0" normalizeH="0" baseline="0">
                <a:solidFill>
                  <a:schemeClr val="tx1">
                    <a:lumMod val="65000"/>
                    <a:lumOff val="35000"/>
                  </a:schemeClr>
                </a:solidFill>
                <a:latin typeface="Book Antiqua" panose="02040602050305030304" pitchFamily="18" charset="0"/>
                <a:ea typeface="+mj-ea"/>
                <a:cs typeface="+mj-cs"/>
              </a:defRPr>
            </a:pPr>
            <a:r>
              <a:rPr lang="en-US"/>
              <a:t>(Qty in MMSCM)</a:t>
            </a:r>
          </a:p>
        </c:rich>
      </c:tx>
      <c:overlay val="0"/>
      <c:spPr>
        <a:noFill/>
        <a:ln>
          <a:noFill/>
        </a:ln>
        <a:effectLst/>
      </c:spPr>
      <c:txPr>
        <a:bodyPr rot="0" spcFirstLastPara="1" vertOverflow="ellipsis" vert="horz" wrap="square" anchor="ctr" anchorCtr="1"/>
        <a:lstStyle/>
        <a:p>
          <a:pPr>
            <a:defRPr sz="2000" b="0" i="0" u="none" strike="noStrike" kern="1200" cap="none" spc="0" normalizeH="0" baseline="0">
              <a:solidFill>
                <a:schemeClr val="tx1">
                  <a:lumMod val="65000"/>
                  <a:lumOff val="35000"/>
                </a:schemeClr>
              </a:solidFill>
              <a:latin typeface="Book Antiqua" panose="02040602050305030304" pitchFamily="18" charset="0"/>
              <a:ea typeface="+mj-ea"/>
              <a:cs typeface="+mj-cs"/>
            </a:defRPr>
          </a:pPr>
          <a:endParaRPr lang="en-US"/>
        </a:p>
      </c:txPr>
    </c:title>
    <c:autoTitleDeleted val="0"/>
    <c:plotArea>
      <c:layout/>
      <c:barChart>
        <c:barDir val="col"/>
        <c:grouping val="stacked"/>
        <c:varyColors val="0"/>
        <c:ser>
          <c:idx val="0"/>
          <c:order val="0"/>
          <c:spPr>
            <a:solidFill>
              <a:schemeClr val="accent2"/>
            </a:solidFill>
            <a:ln>
              <a:noFill/>
            </a:ln>
            <a:effectLst/>
          </c:spPr>
          <c:invertIfNegative val="0"/>
          <c:dLbls>
            <c:spPr>
              <a:noFill/>
              <a:ln>
                <a:noFill/>
              </a:ln>
              <a:effectLst/>
            </c:spPr>
            <c:txPr>
              <a:bodyPr rot="0" spcFirstLastPara="1" vertOverflow="ellipsis" vert="horz" wrap="square" anchor="ctr" anchorCtr="1"/>
              <a:lstStyle/>
              <a:p>
                <a:pPr>
                  <a:defRPr sz="1200" b="1" i="0" u="none" strike="noStrike" kern="1200" baseline="0">
                    <a:solidFill>
                      <a:schemeClr val="tx1">
                        <a:lumMod val="75000"/>
                        <a:lumOff val="25000"/>
                      </a:schemeClr>
                    </a:solidFill>
                    <a:latin typeface="Book Antiqua" panose="02040602050305030304" pitchFamily="18"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#REF!</c:f>
              <c:numCache>
                <c:formatCode>General</c:formatCode>
                <c:ptCount val="1"/>
                <c:pt idx="0">
                  <c:v>1</c:v>
                </c:pt>
              </c:numCache>
            </c:numRef>
          </c:val>
          <c:extLs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0-27EF-4E37-91B7-4B51779DFDA8}"/>
            </c:ext>
          </c:extLst>
        </c:ser>
        <c:ser>
          <c:idx val="1"/>
          <c:order val="1"/>
          <c:spPr>
            <a:solidFill>
              <a:schemeClr val="accent4"/>
            </a:solidFill>
            <a:ln>
              <a:noFill/>
            </a:ln>
            <a:effectLst/>
          </c:spPr>
          <c:invertIfNegative val="0"/>
          <c:dLbls>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Book Antiqua" panose="02040602050305030304" pitchFamily="18"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#REF!</c:f>
              <c:numCache>
                <c:formatCode>General</c:formatCode>
                <c:ptCount val="1"/>
                <c:pt idx="0">
                  <c:v>1</c:v>
                </c:pt>
              </c:numCache>
            </c:numRef>
          </c:val>
          <c:extLs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1-27EF-4E37-91B7-4B51779DFDA8}"/>
            </c:ext>
          </c:extLst>
        </c:ser>
        <c:dLbls>
          <c:showLegendKey val="0"/>
          <c:showVal val="1"/>
          <c:showCatName val="0"/>
          <c:showSerName val="0"/>
          <c:showPercent val="0"/>
          <c:showBubbleSize val="0"/>
        </c:dLbls>
        <c:gapWidth val="269"/>
        <c:overlap val="100"/>
        <c:axId val="1230382863"/>
        <c:axId val="1230384111"/>
      </c:barChart>
      <c:lineChart>
        <c:grouping val="standard"/>
        <c:varyColors val="0"/>
        <c:ser>
          <c:idx val="2"/>
          <c:order val="2"/>
          <c:spPr>
            <a:ln w="38100" cap="rnd">
              <a:solidFill>
                <a:schemeClr val="accent6"/>
              </a:solidFill>
              <a:round/>
            </a:ln>
            <a:effectLst/>
          </c:spPr>
          <c:marker>
            <c:symbol val="none"/>
          </c:marker>
          <c:dLbls>
            <c:spPr>
              <a:noFill/>
              <a:ln>
                <a:noFill/>
              </a:ln>
              <a:effectLst/>
            </c:spPr>
            <c:txPr>
              <a:bodyPr rot="0" spcFirstLastPara="1" vertOverflow="ellipsis" vert="horz" wrap="square" anchor="ctr" anchorCtr="1"/>
              <a:lstStyle/>
              <a:p>
                <a:pPr>
                  <a:defRPr sz="1050" b="0" i="0" u="none" strike="noStrike" kern="1200" baseline="0">
                    <a:solidFill>
                      <a:schemeClr val="tx1">
                        <a:lumMod val="75000"/>
                        <a:lumOff val="25000"/>
                      </a:schemeClr>
                    </a:solidFill>
                    <a:latin typeface="Book Antiqua" panose="02040602050305030304" pitchFamily="18" charset="0"/>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val>
            <c:numRef>
              <c:f>#REF!</c:f>
              <c:numCache>
                <c:formatCode>General</c:formatCode>
                <c:ptCount val="1"/>
                <c:pt idx="0">
                  <c:v>1</c:v>
                </c:pt>
              </c:numCache>
            </c:numRef>
          </c:val>
          <c:smooth val="0"/>
          <c:extLst>
            <c:ext xmlns:c15="http://schemas.microsoft.com/office/drawing/2012/chart" uri="{02D57815-91ED-43cb-92C2-25804820EDAC}">
              <c15:filteredSeriesTitle>
                <c15:tx>
                  <c:strRef>
                    <c:extLst>
                      <c:ext uri="{02D57815-91ED-43cb-92C2-25804820EDAC}">
                        <c15:formulaRef>
                          <c15:sqref>#REF!</c15:sqref>
                        </c15:formulaRef>
                      </c:ext>
                    </c:extLst>
                    <c:strCache>
                      <c:ptCount val="1"/>
                      <c:pt idx="0">
                        <c:v>#REF!</c:v>
                      </c:pt>
                    </c:strCache>
                  </c:strRef>
                </c15:tx>
              </c15:filteredSeriesTitle>
            </c:ext>
            <c:ext xmlns:c15="http://schemas.microsoft.com/office/drawing/2012/chart" uri="{02D57815-91ED-43cb-92C2-25804820EDAC}">
              <c15:filteredCategoryTitle>
                <c15:cat>
                  <c:multiLvlStrRef>
                    <c:extLst>
                      <c:ext uri="{02D57815-91ED-43cb-92C2-25804820EDAC}">
                        <c15:formulaRef>
                          <c15:sqref>#REF!</c15:sqref>
                        </c15:formulaRef>
                      </c:ext>
                    </c:extLst>
                  </c:multiLvlStrRef>
                </c15:cat>
              </c15:filteredCategoryTitle>
            </c:ext>
            <c:ext xmlns:c16="http://schemas.microsoft.com/office/drawing/2014/chart" uri="{C3380CC4-5D6E-409C-BE32-E72D297353CC}">
              <c16:uniqueId val="{00000002-27EF-4E37-91B7-4B51779DFDA8}"/>
            </c:ext>
          </c:extLst>
        </c:ser>
        <c:dLbls>
          <c:showLegendKey val="0"/>
          <c:showVal val="1"/>
          <c:showCatName val="0"/>
          <c:showSerName val="0"/>
          <c:showPercent val="0"/>
          <c:showBubbleSize val="0"/>
        </c:dLbls>
        <c:marker val="1"/>
        <c:smooth val="0"/>
        <c:axId val="891667967"/>
        <c:axId val="891670879"/>
      </c:lineChart>
      <c:catAx>
        <c:axId val="1230382863"/>
        <c:scaling>
          <c:orientation val="minMax"/>
        </c:scaling>
        <c:delete val="0"/>
        <c:axPos val="b"/>
        <c:numFmt formatCode="General" sourceLinked="1"/>
        <c:majorTickMark val="out"/>
        <c:minorTickMark val="none"/>
        <c:tickLblPos val="nextTo"/>
        <c:spPr>
          <a:noFill/>
          <a:ln w="9525" cap="flat" cmpd="sng" algn="ctr">
            <a:solidFill>
              <a:schemeClr val="tx1">
                <a:lumMod val="15000"/>
                <a:lumOff val="85000"/>
              </a:schemeClr>
            </a:solidFill>
            <a:round/>
          </a:ln>
          <a:effectLst/>
        </c:spPr>
        <c:txPr>
          <a:bodyPr rot="-1800000" spcFirstLastPara="1" vertOverflow="ellipsis" wrap="square" anchor="ctr" anchorCtr="1"/>
          <a:lstStyle/>
          <a:p>
            <a:pPr>
              <a:defRPr sz="900" b="0" i="0" u="none" strike="noStrike" kern="1200" cap="none" spc="0" normalizeH="0" baseline="0">
                <a:solidFill>
                  <a:sysClr val="windowText" lastClr="000000"/>
                </a:solidFill>
                <a:latin typeface="Book Antiqua" panose="02040602050305030304" pitchFamily="18" charset="0"/>
                <a:ea typeface="+mn-ea"/>
                <a:cs typeface="+mn-cs"/>
              </a:defRPr>
            </a:pPr>
            <a:endParaRPr lang="en-US"/>
          </a:p>
        </c:txPr>
        <c:crossAx val="1230384111"/>
        <c:crosses val="autoZero"/>
        <c:auto val="1"/>
        <c:lblAlgn val="ctr"/>
        <c:lblOffset val="100"/>
        <c:noMultiLvlLbl val="0"/>
      </c:catAx>
      <c:valAx>
        <c:axId val="1230384111"/>
        <c:scaling>
          <c:orientation val="minMax"/>
        </c:scaling>
        <c:delete val="0"/>
        <c:axPos val="l"/>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Book Antiqua" panose="02040602050305030304" pitchFamily="18" charset="0"/>
                <a:ea typeface="+mn-ea"/>
                <a:cs typeface="+mn-cs"/>
              </a:defRPr>
            </a:pPr>
            <a:endParaRPr lang="en-US"/>
          </a:p>
        </c:txPr>
        <c:crossAx val="1230382863"/>
        <c:crosses val="autoZero"/>
        <c:crossBetween val="between"/>
      </c:valAx>
      <c:valAx>
        <c:axId val="891670879"/>
        <c:scaling>
          <c:orientation val="minMax"/>
          <c:max val="0.55000000000000004"/>
        </c:scaling>
        <c:delete val="0"/>
        <c:axPos val="r"/>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Book Antiqua" panose="02040602050305030304" pitchFamily="18" charset="0"/>
                <a:ea typeface="+mn-ea"/>
                <a:cs typeface="+mn-cs"/>
              </a:defRPr>
            </a:pPr>
            <a:endParaRPr lang="en-US"/>
          </a:p>
        </c:txPr>
        <c:crossAx val="891667967"/>
        <c:crosses val="max"/>
        <c:crossBetween val="between"/>
      </c:valAx>
      <c:catAx>
        <c:axId val="891667967"/>
        <c:scaling>
          <c:orientation val="minMax"/>
        </c:scaling>
        <c:delete val="1"/>
        <c:axPos val="b"/>
        <c:numFmt formatCode="General" sourceLinked="1"/>
        <c:majorTickMark val="out"/>
        <c:minorTickMark val="none"/>
        <c:tickLblPos val="nextTo"/>
        <c:crossAx val="891670879"/>
        <c:crosses val="autoZero"/>
        <c:auto val="1"/>
        <c:lblAlgn val="ctr"/>
        <c:lblOffset val="100"/>
        <c:noMultiLvlLbl val="0"/>
      </c:catAx>
      <c:spPr>
        <a:noFill/>
        <a:ln>
          <a:noFill/>
        </a:ln>
        <a:effectLst/>
      </c:spPr>
    </c:plotArea>
    <c:legend>
      <c:legendPos val="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Book Antiqua" panose="02040602050305030304" pitchFamily="18"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9525" cap="flat" cmpd="sng" algn="ctr">
      <a:solidFill>
        <a:schemeClr val="tx1">
          <a:lumMod val="15000"/>
          <a:lumOff val="85000"/>
        </a:schemeClr>
      </a:solidFill>
      <a:round/>
    </a:ln>
    <a:effectLst/>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baseline="0">
                <a:solidFill>
                  <a:sysClr val="windowText" lastClr="000000"/>
                </a:solidFill>
                <a:latin typeface="Book Antiqua" panose="02040602050305030304" pitchFamily="18" charset="0"/>
                <a:ea typeface="+mn-ea"/>
                <a:cs typeface="+mn-cs"/>
              </a:defRPr>
            </a:pPr>
            <a:r>
              <a:rPr lang="en-US" b="1">
                <a:solidFill>
                  <a:sysClr val="windowText" lastClr="000000"/>
                </a:solidFill>
                <a:latin typeface="Book Antiqua" panose="02040602050305030304" pitchFamily="18" charset="0"/>
              </a:rPr>
              <a:t>Net domestic production for sales (MMSCM) </a:t>
            </a:r>
          </a:p>
        </c:rich>
      </c:tx>
      <c:layout>
        <c:manualLayout>
          <c:xMode val="edge"/>
          <c:yMode val="edge"/>
          <c:x val="0.21345792423877608"/>
          <c:y val="3.0046960797233409E-2"/>
        </c:manualLayout>
      </c:layout>
      <c:overlay val="0"/>
      <c:spPr>
        <a:noFill/>
        <a:ln>
          <a:noFill/>
        </a:ln>
        <a:effectLst/>
      </c:spPr>
      <c:txPr>
        <a:bodyPr rot="0" spcFirstLastPara="1" vertOverflow="ellipsis" vert="horz" wrap="square" anchor="ctr" anchorCtr="1"/>
        <a:lstStyle/>
        <a:p>
          <a:pPr>
            <a:defRPr sz="1600" b="1" i="0" u="none" strike="noStrike" kern="1200" baseline="0">
              <a:solidFill>
                <a:sysClr val="windowText" lastClr="000000"/>
              </a:solidFill>
              <a:latin typeface="Book Antiqua" panose="02040602050305030304" pitchFamily="18" charset="0"/>
              <a:ea typeface="+mn-ea"/>
              <a:cs typeface="+mn-cs"/>
            </a:defRPr>
          </a:pPr>
          <a:endParaRPr lang="en-US"/>
        </a:p>
      </c:txPr>
    </c:title>
    <c:autoTitleDeleted val="0"/>
    <c:plotArea>
      <c:layout>
        <c:manualLayout>
          <c:layoutTarget val="inner"/>
          <c:xMode val="edge"/>
          <c:yMode val="edge"/>
          <c:x val="7.1636456188444872E-2"/>
          <c:y val="0.10647735828663235"/>
          <c:w val="0.90741115971670938"/>
          <c:h val="0.62625743451222593"/>
        </c:manualLayout>
      </c:layout>
      <c:lineChart>
        <c:grouping val="standard"/>
        <c:varyColors val="0"/>
        <c:ser>
          <c:idx val="0"/>
          <c:order val="0"/>
          <c:tx>
            <c:strRef>
              <c:f>'3.4+3.5 Graph'!$U$52</c:f>
              <c:strCache>
                <c:ptCount val="1"/>
                <c:pt idx="0">
                  <c:v>ONGC</c:v>
                </c:pt>
              </c:strCache>
            </c:strRef>
          </c:tx>
          <c:spPr>
            <a:ln w="34925" cap="rnd">
              <a:solidFill>
                <a:schemeClr val="accent1"/>
              </a:solidFill>
              <a:round/>
            </a:ln>
            <a:effectLst>
              <a:outerShdw blurRad="57150" dist="19050" dir="5400000" algn="ctr" rotWithShape="0">
                <a:srgbClr val="000000">
                  <a:alpha val="63000"/>
                </a:srgbClr>
              </a:outerShdw>
            </a:effectLst>
          </c:spPr>
          <c:marker>
            <c:symbol val="none"/>
          </c:marker>
          <c:dLbls>
            <c:dLbl>
              <c:idx val="3"/>
              <c:layout>
                <c:manualLayout>
                  <c:x val="-5.608975491414403E-2"/>
                  <c:y val="-9.546603808508639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F38-44F7-B54F-3974B169B35C}"/>
                </c:ext>
              </c:extLst>
            </c:dLbl>
            <c:dLbl>
              <c:idx val="4"/>
              <c:layout>
                <c:manualLayout>
                  <c:x val="-2.8205133899683807E-2"/>
                  <c:y val="-8.738268128851603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F38-44F7-B54F-3974B169B35C}"/>
                </c:ext>
              </c:extLst>
            </c:dLbl>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ysClr val="windowText" lastClr="000000"/>
                    </a:solidFill>
                    <a:latin typeface="Book Antiqua" panose="02040602050305030304" pitchFamily="18" charset="0"/>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'3.4+3.5 Graph'!$W$51:$AB$51</c:f>
              <c:strCache>
                <c:ptCount val="6"/>
                <c:pt idx="0">
                  <c:v>2020-21 </c:v>
                </c:pt>
                <c:pt idx="1">
                  <c:v>2021-22 </c:v>
                </c:pt>
                <c:pt idx="2">
                  <c:v>2022-23 </c:v>
                </c:pt>
                <c:pt idx="3">
                  <c:v>2023-24</c:v>
                </c:pt>
                <c:pt idx="4">
                  <c:v>2024-25</c:v>
                </c:pt>
                <c:pt idx="5">
                  <c:v>2025-26</c:v>
                </c:pt>
              </c:strCache>
            </c:strRef>
          </c:cat>
          <c:val>
            <c:numRef>
              <c:f>'3.4+3.5 Graph'!$W$52:$AB$52</c:f>
              <c:numCache>
                <c:formatCode>0</c:formatCode>
                <c:ptCount val="6"/>
                <c:pt idx="0">
                  <c:v>16981.624167245667</c:v>
                </c:pt>
                <c:pt idx="1">
                  <c:v>15874.658527453237</c:v>
                </c:pt>
                <c:pt idx="2">
                  <c:v>15507.040902882669</c:v>
                </c:pt>
                <c:pt idx="3">
                  <c:v>14945.938376032002</c:v>
                </c:pt>
                <c:pt idx="4">
                  <c:v>14485.094661034997</c:v>
                </c:pt>
                <c:pt idx="5">
                  <c:v>14291.834793723998</c:v>
                </c:pt>
              </c:numCache>
            </c:numRef>
          </c:val>
          <c:smooth val="0"/>
          <c:extLst>
            <c:ext xmlns:c16="http://schemas.microsoft.com/office/drawing/2014/chart" uri="{C3380CC4-5D6E-409C-BE32-E72D297353CC}">
              <c16:uniqueId val="{00000002-2F38-44F7-B54F-3974B169B35C}"/>
            </c:ext>
          </c:extLst>
        </c:ser>
        <c:ser>
          <c:idx val="1"/>
          <c:order val="1"/>
          <c:tx>
            <c:strRef>
              <c:f>'3.4+3.5 Graph'!$U$53</c:f>
              <c:strCache>
                <c:ptCount val="1"/>
                <c:pt idx="0">
                  <c:v>OIL</c:v>
                </c:pt>
              </c:strCache>
            </c:strRef>
          </c:tx>
          <c:spPr>
            <a:ln w="34925" cap="rnd">
              <a:solidFill>
                <a:schemeClr val="accent2"/>
              </a:solidFill>
              <a:round/>
            </a:ln>
            <a:effectLst>
              <a:outerShdw blurRad="57150" dist="19050" dir="5400000" algn="ctr" rotWithShape="0">
                <a:srgbClr val="000000">
                  <a:alpha val="63000"/>
                </a:srgbClr>
              </a:outerShdw>
            </a:effectLst>
          </c:spPr>
          <c:marker>
            <c:symbol val="none"/>
          </c:marker>
          <c:dLbls>
            <c:numFmt formatCode="#,##0" sourceLinked="0"/>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ysClr val="windowText" lastClr="000000"/>
                    </a:solidFill>
                    <a:latin typeface="Book Antiqua" panose="02040602050305030304" pitchFamily="18" charset="0"/>
                    <a:ea typeface="+mn-ea"/>
                    <a:cs typeface="+mn-cs"/>
                  </a:defRPr>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'3.4+3.5 Graph'!$W$51:$AB$51</c:f>
              <c:strCache>
                <c:ptCount val="6"/>
                <c:pt idx="0">
                  <c:v>2020-21 </c:v>
                </c:pt>
                <c:pt idx="1">
                  <c:v>2021-22 </c:v>
                </c:pt>
                <c:pt idx="2">
                  <c:v>2022-23 </c:v>
                </c:pt>
                <c:pt idx="3">
                  <c:v>2023-24</c:v>
                </c:pt>
                <c:pt idx="4">
                  <c:v>2024-25</c:v>
                </c:pt>
                <c:pt idx="5">
                  <c:v>2025-26</c:v>
                </c:pt>
              </c:strCache>
            </c:strRef>
          </c:cat>
          <c:val>
            <c:numRef>
              <c:f>'3.4+3.5 Graph'!$W$53:$AB$53</c:f>
              <c:numCache>
                <c:formatCode>0</c:formatCode>
                <c:ptCount val="6"/>
                <c:pt idx="0">
                  <c:v>1930.3486740000001</c:v>
                </c:pt>
                <c:pt idx="1">
                  <c:v>2189.1416590000003</c:v>
                </c:pt>
                <c:pt idx="2">
                  <c:v>2288.7703282000002</c:v>
                </c:pt>
                <c:pt idx="3">
                  <c:v>2367.6939729999999</c:v>
                </c:pt>
                <c:pt idx="4">
                  <c:v>2535.3687369999998</c:v>
                </c:pt>
                <c:pt idx="5">
                  <c:v>2497.5084420000003</c:v>
                </c:pt>
              </c:numCache>
            </c:numRef>
          </c:val>
          <c:smooth val="0"/>
          <c:extLst>
            <c:ext xmlns:c16="http://schemas.microsoft.com/office/drawing/2014/chart" uri="{C3380CC4-5D6E-409C-BE32-E72D297353CC}">
              <c16:uniqueId val="{00000003-2F38-44F7-B54F-3974B169B35C}"/>
            </c:ext>
          </c:extLst>
        </c:ser>
        <c:ser>
          <c:idx val="2"/>
          <c:order val="2"/>
          <c:tx>
            <c:strRef>
              <c:f>'3.4+3.5 Graph'!$U$54</c:f>
              <c:strCache>
                <c:ptCount val="1"/>
                <c:pt idx="0">
                  <c:v>PSC/JV's fields</c:v>
                </c:pt>
              </c:strCache>
            </c:strRef>
          </c:tx>
          <c:spPr>
            <a:ln w="34925" cap="rnd">
              <a:solidFill>
                <a:schemeClr val="accent3"/>
              </a:solidFill>
              <a:round/>
            </a:ln>
            <a:effectLst>
              <a:outerShdw blurRad="57150" dist="19050" dir="5400000" algn="ctr" rotWithShape="0">
                <a:srgbClr val="000000">
                  <a:alpha val="63000"/>
                </a:srgbClr>
              </a:outerShdw>
            </a:effectLst>
          </c:spPr>
          <c:marker>
            <c:symbol val="none"/>
          </c:marker>
          <c:dLbls>
            <c:dLbl>
              <c:idx val="3"/>
              <c:layout>
                <c:manualLayout>
                  <c:x val="-5.1282061635789678E-3"/>
                  <c:y val="-8.20945007604930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F38-44F7-B54F-3974B169B35C}"/>
                </c:ext>
              </c:extLst>
            </c:dLbl>
            <c:dLbl>
              <c:idx val="4"/>
              <c:layout>
                <c:manualLayout>
                  <c:x val="7.0512834749209517E-3"/>
                  <c:y val="-3.4875462437722726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F38-44F7-B54F-3974B169B35C}"/>
                </c:ext>
              </c:extLst>
            </c:dLbl>
            <c:dLbl>
              <c:idx val="5"/>
              <c:layout>
                <c:manualLayout>
                  <c:x val="-2.635775866214557E-2"/>
                  <c:y val="3.239442401734637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2F38-44F7-B54F-3974B169B35C}"/>
                </c:ext>
              </c:extLst>
            </c:dLbl>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ysClr val="windowText" lastClr="000000"/>
                    </a:solidFill>
                    <a:latin typeface="Book Antiqua" panose="02040602050305030304" pitchFamily="18" charset="0"/>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'3.4+3.5 Graph'!$W$51:$AB$51</c:f>
              <c:strCache>
                <c:ptCount val="6"/>
                <c:pt idx="0">
                  <c:v>2020-21 </c:v>
                </c:pt>
                <c:pt idx="1">
                  <c:v>2021-22 </c:v>
                </c:pt>
                <c:pt idx="2">
                  <c:v>2022-23 </c:v>
                </c:pt>
                <c:pt idx="3">
                  <c:v>2023-24</c:v>
                </c:pt>
                <c:pt idx="4">
                  <c:v>2024-25</c:v>
                </c:pt>
                <c:pt idx="5">
                  <c:v>2025-26</c:v>
                </c:pt>
              </c:strCache>
            </c:strRef>
          </c:cat>
          <c:val>
            <c:numRef>
              <c:f>'3.4+3.5 Graph'!$W$54:$AB$54</c:f>
              <c:numCache>
                <c:formatCode>0</c:formatCode>
                <c:ptCount val="6"/>
                <c:pt idx="0">
                  <c:v>3142.8620000000001</c:v>
                </c:pt>
                <c:pt idx="1">
                  <c:v>9309.8429999999989</c:v>
                </c:pt>
                <c:pt idx="2">
                  <c:v>10364.864000000001</c:v>
                </c:pt>
                <c:pt idx="3">
                  <c:v>12821.827999999998</c:v>
                </c:pt>
                <c:pt idx="4">
                  <c:v>13026.865</c:v>
                </c:pt>
                <c:pt idx="5">
                  <c:v>12245.661</c:v>
                </c:pt>
              </c:numCache>
            </c:numRef>
          </c:val>
          <c:smooth val="0"/>
          <c:extLst>
            <c:ext xmlns:c16="http://schemas.microsoft.com/office/drawing/2014/chart" uri="{C3380CC4-5D6E-409C-BE32-E72D297353CC}">
              <c16:uniqueId val="{00000007-2F38-44F7-B54F-3974B169B35C}"/>
            </c:ext>
          </c:extLst>
        </c:ser>
        <c:ser>
          <c:idx val="3"/>
          <c:order val="3"/>
          <c:tx>
            <c:strRef>
              <c:f>'3.4+3.5 Graph'!$U$55</c:f>
              <c:strCache>
                <c:ptCount val="1"/>
                <c:pt idx="0">
                  <c:v>Total</c:v>
                </c:pt>
              </c:strCache>
            </c:strRef>
          </c:tx>
          <c:spPr>
            <a:ln w="34925" cap="rnd">
              <a:solidFill>
                <a:schemeClr val="accent4"/>
              </a:solidFill>
              <a:round/>
            </a:ln>
            <a:effectLst>
              <a:outerShdw blurRad="57150" dist="19050" dir="5400000" algn="ctr" rotWithShape="0">
                <a:srgbClr val="000000">
                  <a:alpha val="63000"/>
                </a:srgbClr>
              </a:outerShdw>
            </a:effectLst>
          </c:spPr>
          <c:marker>
            <c:symbol val="none"/>
          </c:marker>
          <c:dLbls>
            <c:numFmt formatCode="#,##0" sourceLinked="0"/>
            <c:spPr>
              <a:noFill/>
              <a:ln>
                <a:noFill/>
              </a:ln>
              <a:effectLst/>
            </c:spPr>
            <c:txPr>
              <a:bodyPr rot="0" spcFirstLastPara="1" vertOverflow="ellipsis" vert="horz" wrap="square" lIns="38100" tIns="19050" rIns="38100" bIns="19050" anchor="ctr" anchorCtr="1">
                <a:spAutoFit/>
              </a:bodyPr>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'3.4+3.5 Graph'!$W$51:$AB$51</c:f>
              <c:strCache>
                <c:ptCount val="6"/>
                <c:pt idx="0">
                  <c:v>2020-21 </c:v>
                </c:pt>
                <c:pt idx="1">
                  <c:v>2021-22 </c:v>
                </c:pt>
                <c:pt idx="2">
                  <c:v>2022-23 </c:v>
                </c:pt>
                <c:pt idx="3">
                  <c:v>2023-24</c:v>
                </c:pt>
                <c:pt idx="4">
                  <c:v>2024-25</c:v>
                </c:pt>
                <c:pt idx="5">
                  <c:v>2025-26</c:v>
                </c:pt>
              </c:strCache>
            </c:strRef>
          </c:cat>
          <c:val>
            <c:numRef>
              <c:f>'3.4+3.5 Graph'!$W$55:$AB$55</c:f>
              <c:numCache>
                <c:formatCode>0</c:formatCode>
                <c:ptCount val="6"/>
                <c:pt idx="0">
                  <c:v>22054.834841245669</c:v>
                </c:pt>
                <c:pt idx="1">
                  <c:v>27373.643186453235</c:v>
                </c:pt>
                <c:pt idx="2">
                  <c:v>28160.675231082671</c:v>
                </c:pt>
                <c:pt idx="3">
                  <c:v>30135.460349032001</c:v>
                </c:pt>
                <c:pt idx="4">
                  <c:v>30047.328398034995</c:v>
                </c:pt>
                <c:pt idx="5">
                  <c:v>29035.004235723998</c:v>
                </c:pt>
              </c:numCache>
            </c:numRef>
          </c:val>
          <c:smooth val="0"/>
          <c:extLst>
            <c:ext xmlns:c16="http://schemas.microsoft.com/office/drawing/2014/chart" uri="{C3380CC4-5D6E-409C-BE32-E72D297353CC}">
              <c16:uniqueId val="{00000008-2F38-44F7-B54F-3974B169B35C}"/>
            </c:ext>
          </c:extLst>
        </c:ser>
        <c:dLbls>
          <c:dLblPos val="ctr"/>
          <c:showLegendKey val="0"/>
          <c:showVal val="1"/>
          <c:showCatName val="0"/>
          <c:showSerName val="0"/>
          <c:showPercent val="0"/>
          <c:showBubbleSize val="0"/>
        </c:dLbls>
        <c:smooth val="0"/>
        <c:axId val="1237285039"/>
        <c:axId val="1237285455"/>
      </c:lineChart>
      <c:catAx>
        <c:axId val="1237285039"/>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1800000" spcFirstLastPara="1" vertOverflow="ellipsis" wrap="square" anchor="ctr" anchorCtr="1"/>
          <a:lstStyle/>
          <a:p>
            <a:pPr>
              <a:defRPr sz="1400" b="0" i="0" u="none" strike="noStrike" kern="1200" baseline="0">
                <a:solidFill>
                  <a:sysClr val="windowText" lastClr="000000"/>
                </a:solidFill>
                <a:latin typeface="Book Antiqua" panose="02040602050305030304" pitchFamily="18" charset="0"/>
                <a:ea typeface="+mn-ea"/>
                <a:cs typeface="+mn-cs"/>
              </a:defRPr>
            </a:pPr>
            <a:endParaRPr lang="en-US"/>
          </a:p>
        </c:txPr>
        <c:crossAx val="1237285455"/>
        <c:crosses val="autoZero"/>
        <c:auto val="1"/>
        <c:lblAlgn val="ctr"/>
        <c:lblOffset val="100"/>
        <c:noMultiLvlLbl val="0"/>
      </c:catAx>
      <c:valAx>
        <c:axId val="1237285455"/>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050" b="0" i="0" u="none" strike="noStrike" kern="1200" baseline="0">
                <a:solidFill>
                  <a:sysClr val="windowText" lastClr="000000"/>
                </a:solidFill>
                <a:latin typeface="Book Antiqua" panose="02040602050305030304" pitchFamily="18" charset="0"/>
                <a:ea typeface="+mn-ea"/>
                <a:cs typeface="+mn-cs"/>
              </a:defRPr>
            </a:pPr>
            <a:endParaRPr lang="en-US"/>
          </a:p>
        </c:txPr>
        <c:crossAx val="1237285039"/>
        <c:crosses val="autoZero"/>
        <c:crossBetween val="between"/>
        <c:majorUnit val="3000"/>
        <c:minorUnit val="500"/>
      </c:valAx>
      <c:spPr>
        <a:noFill/>
        <a:ln w="15875">
          <a:solidFill>
            <a:schemeClr val="bg1">
              <a:alpha val="0"/>
            </a:schemeClr>
          </a:solidFill>
        </a:ln>
        <a:effectLst/>
      </c:spPr>
    </c:plotArea>
    <c:legend>
      <c:legendPos val="b"/>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F5E0B5"/>
    </a:solidFill>
    <a:ln w="25400"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ysClr val="windowText" lastClr="000000"/>
                </a:solidFill>
                <a:latin typeface="Book Antiqua" panose="02040602050305030304" pitchFamily="18" charset="0"/>
                <a:ea typeface="+mn-ea"/>
                <a:cs typeface="+mn-cs"/>
              </a:defRPr>
            </a:pPr>
            <a:r>
              <a:rPr lang="en-IN" sz="1600" b="1">
                <a:solidFill>
                  <a:sysClr val="windowText" lastClr="000000"/>
                </a:solidFill>
                <a:latin typeface="Book Antiqua" panose="02040602050305030304" pitchFamily="18" charset="0"/>
              </a:rPr>
              <a:t>Natural Gas Consumption</a:t>
            </a:r>
            <a:r>
              <a:rPr lang="en-IN" sz="1600" b="1" baseline="0">
                <a:solidFill>
                  <a:sysClr val="windowText" lastClr="000000"/>
                </a:solidFill>
                <a:latin typeface="Book Antiqua" panose="02040602050305030304" pitchFamily="18" charset="0"/>
              </a:rPr>
              <a:t> and Import Dependency %</a:t>
            </a:r>
            <a:endParaRPr lang="en-IN" sz="1600" b="1">
              <a:solidFill>
                <a:sysClr val="windowText" lastClr="000000"/>
              </a:solidFill>
              <a:latin typeface="Book Antiqua" panose="02040602050305030304" pitchFamily="18" charset="0"/>
            </a:endParaRPr>
          </a:p>
        </c:rich>
      </c:tx>
      <c:overlay val="0"/>
      <c:spPr>
        <a:solidFill>
          <a:schemeClr val="accent4">
            <a:lumMod val="20000"/>
            <a:lumOff val="80000"/>
          </a:schemeClr>
        </a:solidFill>
        <a:ln>
          <a:noFill/>
        </a:ln>
        <a:effectLst/>
      </c:spPr>
      <c:txPr>
        <a:bodyPr rot="0" spcFirstLastPara="1" vertOverflow="ellipsis" vert="horz" wrap="square" anchor="ctr" anchorCtr="1"/>
        <a:lstStyle/>
        <a:p>
          <a:pPr>
            <a:defRPr sz="1600" b="1" i="0" u="none" strike="noStrike" kern="1200" spc="0" baseline="0">
              <a:solidFill>
                <a:sysClr val="windowText" lastClr="000000"/>
              </a:solidFill>
              <a:latin typeface="Book Antiqua" panose="02040602050305030304" pitchFamily="18" charset="0"/>
              <a:ea typeface="+mn-ea"/>
              <a:cs typeface="+mn-cs"/>
            </a:defRPr>
          </a:pPr>
          <a:endParaRPr lang="en-IN"/>
        </a:p>
      </c:txPr>
    </c:title>
    <c:autoTitleDeleted val="0"/>
    <c:plotArea>
      <c:layout/>
      <c:barChart>
        <c:barDir val="col"/>
        <c:grouping val="stacked"/>
        <c:varyColors val="0"/>
        <c:ser>
          <c:idx val="0"/>
          <c:order val="0"/>
          <c:tx>
            <c:strRef>
              <c:f>'3.4+3.5 Graph'!$U$67</c:f>
              <c:strCache>
                <c:ptCount val="1"/>
                <c:pt idx="0">
                  <c:v>Net Production (net of flare and loss)</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bg1"/>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'3.4+3.5 Graph'!$W$66:$AB$66</c:f>
              <c:strCache>
                <c:ptCount val="6"/>
                <c:pt idx="0">
                  <c:v>2020-21 </c:v>
                </c:pt>
                <c:pt idx="1">
                  <c:v>2021-22 </c:v>
                </c:pt>
                <c:pt idx="2">
                  <c:v>2022-23 </c:v>
                </c:pt>
                <c:pt idx="3">
                  <c:v>2023-24</c:v>
                </c:pt>
                <c:pt idx="4">
                  <c:v>2024-25</c:v>
                </c:pt>
                <c:pt idx="5">
                  <c:v>2025-26</c:v>
                </c:pt>
              </c:strCache>
            </c:strRef>
          </c:cat>
          <c:val>
            <c:numRef>
              <c:f>'3.4+3.5 Graph'!$W$67:$AB$67</c:f>
              <c:numCache>
                <c:formatCode>0</c:formatCode>
                <c:ptCount val="6"/>
                <c:pt idx="0">
                  <c:v>27783.755328956999</c:v>
                </c:pt>
                <c:pt idx="1">
                  <c:v>33131.233613829994</c:v>
                </c:pt>
                <c:pt idx="2">
                  <c:v>33663.921501867662</c:v>
                </c:pt>
                <c:pt idx="3">
                  <c:v>35716.936711072005</c:v>
                </c:pt>
                <c:pt idx="4">
                  <c:v>35593.856180258997</c:v>
                </c:pt>
                <c:pt idx="5">
                  <c:v>34326.230429851646</c:v>
                </c:pt>
              </c:numCache>
            </c:numRef>
          </c:val>
          <c:extLst>
            <c:ext xmlns:c16="http://schemas.microsoft.com/office/drawing/2014/chart" uri="{C3380CC4-5D6E-409C-BE32-E72D297353CC}">
              <c16:uniqueId val="{00000000-45B1-433C-9E64-A3E0F3FD8477}"/>
            </c:ext>
          </c:extLst>
        </c:ser>
        <c:ser>
          <c:idx val="1"/>
          <c:order val="1"/>
          <c:tx>
            <c:strRef>
              <c:f>'3.4+3.5 Graph'!$U$68</c:f>
              <c:strCache>
                <c:ptCount val="1"/>
                <c:pt idx="0">
                  <c:v>LNG import</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bg1"/>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'3.4+3.5 Graph'!$W$66:$AB$66</c:f>
              <c:strCache>
                <c:ptCount val="6"/>
                <c:pt idx="0">
                  <c:v>2020-21 </c:v>
                </c:pt>
                <c:pt idx="1">
                  <c:v>2021-22 </c:v>
                </c:pt>
                <c:pt idx="2">
                  <c:v>2022-23 </c:v>
                </c:pt>
                <c:pt idx="3">
                  <c:v>2023-24</c:v>
                </c:pt>
                <c:pt idx="4">
                  <c:v>2024-25</c:v>
                </c:pt>
                <c:pt idx="5">
                  <c:v>2025-26</c:v>
                </c:pt>
              </c:strCache>
            </c:strRef>
          </c:cat>
          <c:val>
            <c:numRef>
              <c:f>'3.4+3.5 Graph'!$W$68:$AB$68</c:f>
              <c:numCache>
                <c:formatCode>0</c:formatCode>
                <c:ptCount val="6"/>
                <c:pt idx="0">
                  <c:v>33197.705287375007</c:v>
                </c:pt>
                <c:pt idx="1">
                  <c:v>31027.563031474998</c:v>
                </c:pt>
                <c:pt idx="2">
                  <c:v>26304.411986625</c:v>
                </c:pt>
                <c:pt idx="3">
                  <c:v>31795.201479375006</c:v>
                </c:pt>
                <c:pt idx="4">
                  <c:v>35720.305099999998</c:v>
                </c:pt>
                <c:pt idx="5">
                  <c:v>34426.682289999997</c:v>
                </c:pt>
              </c:numCache>
            </c:numRef>
          </c:val>
          <c:extLst>
            <c:ext xmlns:c16="http://schemas.microsoft.com/office/drawing/2014/chart" uri="{C3380CC4-5D6E-409C-BE32-E72D297353CC}">
              <c16:uniqueId val="{00000001-45B1-433C-9E64-A3E0F3FD8477}"/>
            </c:ext>
          </c:extLst>
        </c:ser>
        <c:dLbls>
          <c:showLegendKey val="0"/>
          <c:showVal val="0"/>
          <c:showCatName val="0"/>
          <c:showSerName val="0"/>
          <c:showPercent val="0"/>
          <c:showBubbleSize val="0"/>
        </c:dLbls>
        <c:gapWidth val="100"/>
        <c:overlap val="100"/>
        <c:axId val="292551920"/>
        <c:axId val="19119487"/>
      </c:barChart>
      <c:lineChart>
        <c:grouping val="standard"/>
        <c:varyColors val="0"/>
        <c:ser>
          <c:idx val="2"/>
          <c:order val="2"/>
          <c:tx>
            <c:strRef>
              <c:f>'3.4+3.5 Graph'!$U$69</c:f>
              <c:strCache>
                <c:ptCount val="1"/>
                <c:pt idx="0">
                  <c:v>Import dependency of NG(%)</c:v>
                </c:pt>
              </c:strCache>
            </c:strRef>
          </c:tx>
          <c:spPr>
            <a:ln w="28575" cap="rnd">
              <a:solidFill>
                <a:schemeClr val="accent3"/>
              </a:solidFill>
              <a:round/>
            </a:ln>
            <a:effectLst/>
          </c:spPr>
          <c:marker>
            <c:symbol val="none"/>
          </c:marker>
          <c:dLbls>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'3.4+3.5 Graph'!$W$66:$AB$66</c:f>
              <c:strCache>
                <c:ptCount val="6"/>
                <c:pt idx="0">
                  <c:v>2020-21 </c:v>
                </c:pt>
                <c:pt idx="1">
                  <c:v>2021-22 </c:v>
                </c:pt>
                <c:pt idx="2">
                  <c:v>2022-23 </c:v>
                </c:pt>
                <c:pt idx="3">
                  <c:v>2023-24</c:v>
                </c:pt>
                <c:pt idx="4">
                  <c:v>2024-25</c:v>
                </c:pt>
                <c:pt idx="5">
                  <c:v>2025-26</c:v>
                </c:pt>
              </c:strCache>
            </c:strRef>
          </c:cat>
          <c:val>
            <c:numRef>
              <c:f>'3.4+3.5 Graph'!$W$69:$AB$69</c:f>
              <c:numCache>
                <c:formatCode>0.0%</c:formatCode>
                <c:ptCount val="6"/>
                <c:pt idx="0">
                  <c:v>0.54439013024368299</c:v>
                </c:pt>
                <c:pt idx="1">
                  <c:v>0.48360575094647651</c:v>
                </c:pt>
                <c:pt idx="2">
                  <c:v>0.43863836889301855</c:v>
                </c:pt>
                <c:pt idx="3">
                  <c:v>0.47095533235346471</c:v>
                </c:pt>
                <c:pt idx="4">
                  <c:v>0.50088656248261876</c:v>
                </c:pt>
                <c:pt idx="5">
                  <c:v>0.50073052803273699</c:v>
                </c:pt>
              </c:numCache>
            </c:numRef>
          </c:val>
          <c:smooth val="0"/>
          <c:extLst>
            <c:ext xmlns:c16="http://schemas.microsoft.com/office/drawing/2014/chart" uri="{C3380CC4-5D6E-409C-BE32-E72D297353CC}">
              <c16:uniqueId val="{00000002-45B1-433C-9E64-A3E0F3FD8477}"/>
            </c:ext>
          </c:extLst>
        </c:ser>
        <c:dLbls>
          <c:showLegendKey val="0"/>
          <c:showVal val="0"/>
          <c:showCatName val="0"/>
          <c:showSerName val="0"/>
          <c:showPercent val="0"/>
          <c:showBubbleSize val="0"/>
        </c:dLbls>
        <c:marker val="1"/>
        <c:smooth val="0"/>
        <c:axId val="2047829487"/>
        <c:axId val="2047823247"/>
      </c:lineChart>
      <c:catAx>
        <c:axId val="2925519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crossAx val="19119487"/>
        <c:crosses val="autoZero"/>
        <c:auto val="1"/>
        <c:lblAlgn val="ctr"/>
        <c:lblOffset val="100"/>
        <c:noMultiLvlLbl val="0"/>
      </c:catAx>
      <c:valAx>
        <c:axId val="19119487"/>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92551920"/>
        <c:crosses val="autoZero"/>
        <c:crossBetween val="between"/>
      </c:valAx>
      <c:valAx>
        <c:axId val="2047823247"/>
        <c:scaling>
          <c:orientation val="minMax"/>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47829487"/>
        <c:crosses val="max"/>
        <c:crossBetween val="between"/>
      </c:valAx>
      <c:catAx>
        <c:axId val="2047829487"/>
        <c:scaling>
          <c:orientation val="minMax"/>
        </c:scaling>
        <c:delete val="1"/>
        <c:axPos val="b"/>
        <c:numFmt formatCode="General" sourceLinked="1"/>
        <c:majorTickMark val="out"/>
        <c:minorTickMark val="none"/>
        <c:tickLblPos val="nextTo"/>
        <c:crossAx val="204782324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1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19050"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baseline="0">
                <a:solidFill>
                  <a:sysClr val="windowText" lastClr="000000"/>
                </a:solidFill>
                <a:latin typeface="+mn-lt"/>
                <a:ea typeface="+mn-ea"/>
                <a:cs typeface="+mn-cs"/>
              </a:defRPr>
            </a:pPr>
            <a:r>
              <a:rPr lang="en-US" sz="1400">
                <a:solidFill>
                  <a:sysClr val="windowText" lastClr="000000"/>
                </a:solidFill>
              </a:rPr>
              <a:t>Trend of 'Domestic Natural Gas Price' &amp; 'Natural</a:t>
            </a:r>
            <a:r>
              <a:rPr lang="en-US" sz="1400" baseline="0">
                <a:solidFill>
                  <a:sysClr val="windowText" lastClr="000000"/>
                </a:solidFill>
              </a:rPr>
              <a:t> Gas Price Ceiling'_old regime</a:t>
            </a:r>
            <a:endParaRPr lang="en-US" sz="1400">
              <a:solidFill>
                <a:sysClr val="windowText" lastClr="000000"/>
              </a:solidFill>
            </a:endParaRPr>
          </a:p>
        </c:rich>
      </c:tx>
      <c:layout>
        <c:manualLayout>
          <c:xMode val="edge"/>
          <c:yMode val="edge"/>
          <c:x val="0.22290722336807184"/>
          <c:y val="3.0335602964921514E-2"/>
        </c:manualLayout>
      </c:layout>
      <c:overlay val="0"/>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mn-lt"/>
              <a:ea typeface="+mn-ea"/>
              <a:cs typeface="+mn-cs"/>
            </a:defRPr>
          </a:pPr>
          <a:endParaRPr lang="en-US"/>
        </a:p>
      </c:txPr>
    </c:title>
    <c:autoTitleDeleted val="0"/>
    <c:plotArea>
      <c:layout/>
      <c:lineChart>
        <c:grouping val="standard"/>
        <c:varyColors val="0"/>
        <c:ser>
          <c:idx val="0"/>
          <c:order val="0"/>
          <c:tx>
            <c:strRef>
              <c:f>'3.11'!$D$5</c:f>
              <c:strCache>
                <c:ptCount val="1"/>
                <c:pt idx="0">
                  <c:v>Domestic natural gas price in US$/MMBTU (GCV basis)*</c:v>
                </c:pt>
              </c:strCache>
            </c:strRef>
          </c:tx>
          <c:spPr>
            <a:ln w="31750" cap="rnd">
              <a:solidFill>
                <a:schemeClr val="accent1"/>
              </a:solidFill>
              <a:round/>
            </a:ln>
            <a:effectLst/>
          </c:spPr>
          <c:marker>
            <c:symbol val="circle"/>
            <c:size val="17"/>
            <c:spPr>
              <a:solidFill>
                <a:schemeClr val="accent1"/>
              </a:solidFill>
              <a:ln>
                <a:noFill/>
              </a:ln>
              <a:effectLst/>
            </c:spPr>
          </c:marker>
          <c:dLbls>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'3.11'!$C$6:$C$23</c:f>
              <c:strCache>
                <c:ptCount val="18"/>
                <c:pt idx="0">
                  <c:v>November 2014 - March 2015</c:v>
                </c:pt>
                <c:pt idx="1">
                  <c:v>April 2015 - September 2015 </c:v>
                </c:pt>
                <c:pt idx="2">
                  <c:v>October 2015 - March 2016 </c:v>
                </c:pt>
                <c:pt idx="3">
                  <c:v>April 2016  - September 2016 </c:v>
                </c:pt>
                <c:pt idx="4">
                  <c:v>October 2016 - March 2017  </c:v>
                </c:pt>
                <c:pt idx="5">
                  <c:v>April 2017 - September 2017  </c:v>
                </c:pt>
                <c:pt idx="6">
                  <c:v>October 2017 - March 2018  </c:v>
                </c:pt>
                <c:pt idx="7">
                  <c:v>April 2018 - September 2018  </c:v>
                </c:pt>
                <c:pt idx="8">
                  <c:v>October 2018 - March 2019 </c:v>
                </c:pt>
                <c:pt idx="9">
                  <c:v>April 2019 - September 2019 </c:v>
                </c:pt>
                <c:pt idx="10">
                  <c:v>October 2019 - March 2020 </c:v>
                </c:pt>
                <c:pt idx="11">
                  <c:v>April 2020 - September 2020 </c:v>
                </c:pt>
                <c:pt idx="12">
                  <c:v>October 2020 - March 2021</c:v>
                </c:pt>
                <c:pt idx="13">
                  <c:v>April 2021 - September 2021</c:v>
                </c:pt>
                <c:pt idx="14">
                  <c:v>October 2021 - March 2022</c:v>
                </c:pt>
                <c:pt idx="15">
                  <c:v>April 2022 - September 2022</c:v>
                </c:pt>
                <c:pt idx="16">
                  <c:v>October 2022 - March 2023</c:v>
                </c:pt>
                <c:pt idx="17">
                  <c:v>1 April 2023 - 7 April 2023</c:v>
                </c:pt>
              </c:strCache>
            </c:strRef>
          </c:cat>
          <c:val>
            <c:numRef>
              <c:f>'3.11'!$D$6:$D$23</c:f>
              <c:numCache>
                <c:formatCode>General</c:formatCode>
                <c:ptCount val="18"/>
                <c:pt idx="0">
                  <c:v>5.05</c:v>
                </c:pt>
                <c:pt idx="1">
                  <c:v>4.66</c:v>
                </c:pt>
                <c:pt idx="2">
                  <c:v>3.82</c:v>
                </c:pt>
                <c:pt idx="3">
                  <c:v>3.06</c:v>
                </c:pt>
                <c:pt idx="4">
                  <c:v>2.5</c:v>
                </c:pt>
                <c:pt idx="5">
                  <c:v>2.48</c:v>
                </c:pt>
                <c:pt idx="6">
                  <c:v>2.89</c:v>
                </c:pt>
                <c:pt idx="7">
                  <c:v>3.06</c:v>
                </c:pt>
                <c:pt idx="8">
                  <c:v>3.36</c:v>
                </c:pt>
                <c:pt idx="9">
                  <c:v>3.69</c:v>
                </c:pt>
                <c:pt idx="10">
                  <c:v>3.23</c:v>
                </c:pt>
                <c:pt idx="11">
                  <c:v>2.39</c:v>
                </c:pt>
                <c:pt idx="12">
                  <c:v>1.79</c:v>
                </c:pt>
                <c:pt idx="13">
                  <c:v>1.79</c:v>
                </c:pt>
                <c:pt idx="14">
                  <c:v>2.9</c:v>
                </c:pt>
                <c:pt idx="15">
                  <c:v>6.1</c:v>
                </c:pt>
                <c:pt idx="16">
                  <c:v>8.57</c:v>
                </c:pt>
                <c:pt idx="17">
                  <c:v>9.16</c:v>
                </c:pt>
              </c:numCache>
            </c:numRef>
          </c:val>
          <c:smooth val="0"/>
          <c:extLst>
            <c:ext xmlns:c16="http://schemas.microsoft.com/office/drawing/2014/chart" uri="{C3380CC4-5D6E-409C-BE32-E72D297353CC}">
              <c16:uniqueId val="{00000000-B186-4DBD-9C28-98279CFE766E}"/>
            </c:ext>
          </c:extLst>
        </c:ser>
        <c:ser>
          <c:idx val="1"/>
          <c:order val="1"/>
          <c:tx>
            <c:strRef>
              <c:f>'3.11'!$F$5</c:f>
              <c:strCache>
                <c:ptCount val="1"/>
                <c:pt idx="0">
                  <c:v>Gas price ceiling (HPHT)in US$/MMBTU (GCV basis)**</c:v>
                </c:pt>
              </c:strCache>
            </c:strRef>
          </c:tx>
          <c:spPr>
            <a:ln w="31750" cap="rnd">
              <a:solidFill>
                <a:schemeClr val="accent2"/>
              </a:solidFill>
              <a:round/>
            </a:ln>
            <a:effectLst/>
          </c:spPr>
          <c:marker>
            <c:symbol val="circle"/>
            <c:size val="17"/>
            <c:spPr>
              <a:solidFill>
                <a:schemeClr val="accent2"/>
              </a:solidFill>
              <a:ln>
                <a:noFill/>
              </a:ln>
              <a:effectLst/>
            </c:spPr>
          </c:marker>
          <c:dLbls>
            <c:dLbl>
              <c:idx val="0"/>
              <c:delete val="1"/>
              <c:extLst>
                <c:ext xmlns:c15="http://schemas.microsoft.com/office/drawing/2012/chart" uri="{CE6537A1-D6FC-4f65-9D91-7224C49458BB}"/>
                <c:ext xmlns:c16="http://schemas.microsoft.com/office/drawing/2014/chart" uri="{C3380CC4-5D6E-409C-BE32-E72D297353CC}">
                  <c16:uniqueId val="{00000001-B186-4DBD-9C28-98279CFE766E}"/>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mn-lt"/>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'3.11'!$C$6:$C$23</c:f>
              <c:strCache>
                <c:ptCount val="18"/>
                <c:pt idx="0">
                  <c:v>November 2014 - March 2015</c:v>
                </c:pt>
                <c:pt idx="1">
                  <c:v>April 2015 - September 2015 </c:v>
                </c:pt>
                <c:pt idx="2">
                  <c:v>October 2015 - March 2016 </c:v>
                </c:pt>
                <c:pt idx="3">
                  <c:v>April 2016  - September 2016 </c:v>
                </c:pt>
                <c:pt idx="4">
                  <c:v>October 2016 - March 2017  </c:v>
                </c:pt>
                <c:pt idx="5">
                  <c:v>April 2017 - September 2017  </c:v>
                </c:pt>
                <c:pt idx="6">
                  <c:v>October 2017 - March 2018  </c:v>
                </c:pt>
                <c:pt idx="7">
                  <c:v>April 2018 - September 2018  </c:v>
                </c:pt>
                <c:pt idx="8">
                  <c:v>October 2018 - March 2019 </c:v>
                </c:pt>
                <c:pt idx="9">
                  <c:v>April 2019 - September 2019 </c:v>
                </c:pt>
                <c:pt idx="10">
                  <c:v>October 2019 - March 2020 </c:v>
                </c:pt>
                <c:pt idx="11">
                  <c:v>April 2020 - September 2020 </c:v>
                </c:pt>
                <c:pt idx="12">
                  <c:v>October 2020 - March 2021</c:v>
                </c:pt>
                <c:pt idx="13">
                  <c:v>April 2021 - September 2021</c:v>
                </c:pt>
                <c:pt idx="14">
                  <c:v>October 2021 - March 2022</c:v>
                </c:pt>
                <c:pt idx="15">
                  <c:v>April 2022 - September 2022</c:v>
                </c:pt>
                <c:pt idx="16">
                  <c:v>October 2022 - March 2023</c:v>
                </c:pt>
                <c:pt idx="17">
                  <c:v>1 April 2023 - 7 April 2023</c:v>
                </c:pt>
              </c:strCache>
            </c:strRef>
          </c:cat>
          <c:val>
            <c:numRef>
              <c:f>'3.11'!$F$6:$F$23</c:f>
              <c:numCache>
                <c:formatCode>General</c:formatCode>
                <c:ptCount val="18"/>
                <c:pt idx="3">
                  <c:v>6.61</c:v>
                </c:pt>
                <c:pt idx="4">
                  <c:v>5.3</c:v>
                </c:pt>
                <c:pt idx="5">
                  <c:v>5.56</c:v>
                </c:pt>
                <c:pt idx="6">
                  <c:v>6.3</c:v>
                </c:pt>
                <c:pt idx="7">
                  <c:v>6.78</c:v>
                </c:pt>
                <c:pt idx="8">
                  <c:v>7.67</c:v>
                </c:pt>
                <c:pt idx="9">
                  <c:v>9.32</c:v>
                </c:pt>
                <c:pt idx="10">
                  <c:v>8.43</c:v>
                </c:pt>
                <c:pt idx="11">
                  <c:v>5.61</c:v>
                </c:pt>
                <c:pt idx="12">
                  <c:v>4.0599999999999996</c:v>
                </c:pt>
                <c:pt idx="13">
                  <c:v>3.62</c:v>
                </c:pt>
                <c:pt idx="14">
                  <c:v>6.13</c:v>
                </c:pt>
                <c:pt idx="15">
                  <c:v>9.92</c:v>
                </c:pt>
                <c:pt idx="16">
                  <c:v>12.46</c:v>
                </c:pt>
                <c:pt idx="17">
                  <c:v>12.12</c:v>
                </c:pt>
              </c:numCache>
            </c:numRef>
          </c:val>
          <c:smooth val="0"/>
          <c:extLst>
            <c:ext xmlns:c16="http://schemas.microsoft.com/office/drawing/2014/chart" uri="{C3380CC4-5D6E-409C-BE32-E72D297353CC}">
              <c16:uniqueId val="{00000002-B186-4DBD-9C28-98279CFE766E}"/>
            </c:ext>
          </c:extLst>
        </c:ser>
        <c:dLbls>
          <c:dLblPos val="ctr"/>
          <c:showLegendKey val="0"/>
          <c:showVal val="1"/>
          <c:showCatName val="0"/>
          <c:showSerName val="0"/>
          <c:showPercent val="0"/>
          <c:showBubbleSize val="0"/>
        </c:dLbls>
        <c:marker val="1"/>
        <c:smooth val="0"/>
        <c:axId val="350738416"/>
        <c:axId val="350749936"/>
      </c:lineChart>
      <c:catAx>
        <c:axId val="35073841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1200" b="0" i="0" u="none" strike="noStrike" kern="1200" cap="all" baseline="0">
                <a:solidFill>
                  <a:schemeClr val="dk1">
                    <a:lumMod val="75000"/>
                    <a:lumOff val="25000"/>
                  </a:schemeClr>
                </a:solidFill>
                <a:latin typeface="+mn-lt"/>
                <a:ea typeface="+mn-ea"/>
                <a:cs typeface="+mn-cs"/>
              </a:defRPr>
            </a:pPr>
            <a:endParaRPr lang="en-US"/>
          </a:p>
        </c:txPr>
        <c:crossAx val="350749936"/>
        <c:crosses val="autoZero"/>
        <c:auto val="1"/>
        <c:lblAlgn val="ctr"/>
        <c:lblOffset val="100"/>
        <c:noMultiLvlLbl val="0"/>
      </c:catAx>
      <c:valAx>
        <c:axId val="350749936"/>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General" sourceLinked="1"/>
        <c:majorTickMark val="none"/>
        <c:minorTickMark val="none"/>
        <c:tickLblPos val="nextTo"/>
        <c:crossAx val="350738416"/>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1600" b="0" i="0" u="none" strike="noStrike" kern="1200" baseline="0">
              <a:solidFill>
                <a:sysClr val="windowText" lastClr="000000"/>
              </a:solidFill>
              <a:latin typeface="+mn-lt"/>
              <a:ea typeface="+mn-ea"/>
              <a:cs typeface="+mn-cs"/>
            </a:defRPr>
          </a:pPr>
          <a:endParaRPr lang="en-US"/>
        </a:p>
      </c:txPr>
    </c:legend>
    <c:plotVisOnly val="1"/>
    <c:dispBlanksAs val="gap"/>
    <c:showDLblsOverMax val="0"/>
  </c:chart>
  <c:spPr>
    <a:solidFill>
      <a:srgbClr val="F5E0B5"/>
    </a:solidFill>
    <a:ln w="38100" cap="flat" cmpd="sng" algn="ctr">
      <a:solidFill>
        <a:schemeClr val="accent5">
          <a:lumMod val="50000"/>
        </a:schemeClr>
      </a:solidFill>
      <a:round/>
    </a:ln>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Book Antiqua" panose="02040602050305030304" pitchFamily="18" charset="0"/>
                <a:ea typeface="+mn-ea"/>
                <a:cs typeface="+mn-cs"/>
              </a:defRPr>
            </a:pPr>
            <a:r>
              <a:rPr lang="en-US"/>
              <a:t>Chart</a:t>
            </a:r>
            <a:r>
              <a:rPr lang="en-US" baseline="0"/>
              <a:t> 3.12D: </a:t>
            </a:r>
            <a:r>
              <a:rPr lang="en-US"/>
              <a:t>CGD sales segmentwise in %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Book Antiqua" panose="02040602050305030304" pitchFamily="18" charset="0"/>
              <a:ea typeface="+mn-ea"/>
              <a:cs typeface="+mn-cs"/>
            </a:defRPr>
          </a:pPr>
          <a:endParaRPr lang="en-US"/>
        </a:p>
      </c:txPr>
    </c:title>
    <c:autoTitleDeleted val="0"/>
    <c:plotArea>
      <c:layout/>
      <c:barChart>
        <c:barDir val="col"/>
        <c:grouping val="percentStacked"/>
        <c:varyColors val="0"/>
        <c:ser>
          <c:idx val="0"/>
          <c:order val="0"/>
          <c:tx>
            <c:strRef>
              <c:f>'[7]3.12ABC'!$D$25</c:f>
              <c:strCache>
                <c:ptCount val="1"/>
                <c:pt idx="0">
                  <c:v>CNG </c:v>
                </c:pt>
              </c:strCache>
            </c:strRef>
          </c:tx>
          <c:spPr>
            <a:solidFill>
              <a:schemeClr val="accent1">
                <a:alpha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'[7]3.12ABC'!$C$26:$C$30</c:f>
              <c:strCache>
                <c:ptCount val="5"/>
                <c:pt idx="0">
                  <c:v>October-2020 to March 2021</c:v>
                </c:pt>
                <c:pt idx="1">
                  <c:v>April-2021 to September 2021</c:v>
                </c:pt>
                <c:pt idx="2">
                  <c:v>October 2021 to March 2022</c:v>
                </c:pt>
                <c:pt idx="3">
                  <c:v>April-2022 to September 2022</c:v>
                </c:pt>
                <c:pt idx="4">
                  <c:v>October-2022 to March 2023</c:v>
                </c:pt>
              </c:strCache>
            </c:strRef>
          </c:cat>
          <c:val>
            <c:numRef>
              <c:f>'[7]3.12ABC'!$D$26:$D$30</c:f>
              <c:numCache>
                <c:formatCode>General</c:formatCode>
                <c:ptCount val="5"/>
                <c:pt idx="0">
                  <c:v>39.084396216822377</c:v>
                </c:pt>
                <c:pt idx="1">
                  <c:v>43.560678403088176</c:v>
                </c:pt>
                <c:pt idx="2">
                  <c:v>49.860309881415169</c:v>
                </c:pt>
                <c:pt idx="3">
                  <c:v>55.225633041108203</c:v>
                </c:pt>
                <c:pt idx="4">
                  <c:v>58.335671296088087</c:v>
                </c:pt>
              </c:numCache>
            </c:numRef>
          </c:val>
          <c:extLst>
            <c:ext xmlns:c16="http://schemas.microsoft.com/office/drawing/2014/chart" uri="{C3380CC4-5D6E-409C-BE32-E72D297353CC}">
              <c16:uniqueId val="{00000000-D37E-4D3A-96C4-9F33AF84691C}"/>
            </c:ext>
          </c:extLst>
        </c:ser>
        <c:ser>
          <c:idx val="1"/>
          <c:order val="1"/>
          <c:tx>
            <c:strRef>
              <c:f>'[7]3.12ABC'!$E$25</c:f>
              <c:strCache>
                <c:ptCount val="1"/>
                <c:pt idx="0">
                  <c:v>Domestic (PNG)</c:v>
                </c:pt>
              </c:strCache>
            </c:strRef>
          </c:tx>
          <c:spPr>
            <a:solidFill>
              <a:schemeClr val="accent2">
                <a:alpha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'[7]3.12ABC'!$C$26:$C$30</c:f>
              <c:strCache>
                <c:ptCount val="5"/>
                <c:pt idx="0">
                  <c:v>October-2020 to March 2021</c:v>
                </c:pt>
                <c:pt idx="1">
                  <c:v>April-2021 to September 2021</c:v>
                </c:pt>
                <c:pt idx="2">
                  <c:v>October 2021 to March 2022</c:v>
                </c:pt>
                <c:pt idx="3">
                  <c:v>April-2022 to September 2022</c:v>
                </c:pt>
                <c:pt idx="4">
                  <c:v>October-2022 to March 2023</c:v>
                </c:pt>
              </c:strCache>
            </c:strRef>
          </c:cat>
          <c:val>
            <c:numRef>
              <c:f>'[7]3.12ABC'!$E$26:$E$30</c:f>
              <c:numCache>
                <c:formatCode>General</c:formatCode>
                <c:ptCount val="5"/>
                <c:pt idx="0">
                  <c:v>7.9629367513628297</c:v>
                </c:pt>
                <c:pt idx="1">
                  <c:v>8.0820781708272289</c:v>
                </c:pt>
                <c:pt idx="2">
                  <c:v>8.0965834919684951</c:v>
                </c:pt>
                <c:pt idx="3">
                  <c:v>7.496939290259454</c:v>
                </c:pt>
                <c:pt idx="4">
                  <c:v>8.7364627293862149</c:v>
                </c:pt>
              </c:numCache>
            </c:numRef>
          </c:val>
          <c:extLst>
            <c:ext xmlns:c16="http://schemas.microsoft.com/office/drawing/2014/chart" uri="{C3380CC4-5D6E-409C-BE32-E72D297353CC}">
              <c16:uniqueId val="{00000001-D37E-4D3A-96C4-9F33AF84691C}"/>
            </c:ext>
          </c:extLst>
        </c:ser>
        <c:ser>
          <c:idx val="2"/>
          <c:order val="2"/>
          <c:tx>
            <c:strRef>
              <c:f>'[7]3.12ABC'!$F$25</c:f>
              <c:strCache>
                <c:ptCount val="1"/>
                <c:pt idx="0">
                  <c:v>Commercial (PNG)</c:v>
                </c:pt>
              </c:strCache>
            </c:strRef>
          </c:tx>
          <c:spPr>
            <a:solidFill>
              <a:schemeClr val="accent3">
                <a:alpha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anchor="ctr" anchorCtr="1"/>
              <a:lstStyle/>
              <a:p>
                <a:pPr>
                  <a:defRPr sz="16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'[7]3.12ABC'!$C$26:$C$30</c:f>
              <c:strCache>
                <c:ptCount val="5"/>
                <c:pt idx="0">
                  <c:v>October-2020 to March 2021</c:v>
                </c:pt>
                <c:pt idx="1">
                  <c:v>April-2021 to September 2021</c:v>
                </c:pt>
                <c:pt idx="2">
                  <c:v>October 2021 to March 2022</c:v>
                </c:pt>
                <c:pt idx="3">
                  <c:v>April-2022 to September 2022</c:v>
                </c:pt>
                <c:pt idx="4">
                  <c:v>October-2022 to March 2023</c:v>
                </c:pt>
              </c:strCache>
            </c:strRef>
          </c:cat>
          <c:val>
            <c:numRef>
              <c:f>'[7]3.12ABC'!$F$26:$F$30</c:f>
              <c:numCache>
                <c:formatCode>General</c:formatCode>
                <c:ptCount val="5"/>
                <c:pt idx="0">
                  <c:v>2.8017283497308432</c:v>
                </c:pt>
                <c:pt idx="1">
                  <c:v>1.60930473212926</c:v>
                </c:pt>
                <c:pt idx="2">
                  <c:v>1.9602910193516585</c:v>
                </c:pt>
                <c:pt idx="3">
                  <c:v>1.9568410973250145</c:v>
                </c:pt>
                <c:pt idx="4">
                  <c:v>2.0744348185856851</c:v>
                </c:pt>
              </c:numCache>
            </c:numRef>
          </c:val>
          <c:extLst>
            <c:ext xmlns:c16="http://schemas.microsoft.com/office/drawing/2014/chart" uri="{C3380CC4-5D6E-409C-BE32-E72D297353CC}">
              <c16:uniqueId val="{00000002-D37E-4D3A-96C4-9F33AF84691C}"/>
            </c:ext>
          </c:extLst>
        </c:ser>
        <c:ser>
          <c:idx val="3"/>
          <c:order val="3"/>
          <c:tx>
            <c:strRef>
              <c:f>'[7]3.12ABC'!$G$25</c:f>
              <c:strCache>
                <c:ptCount val="1"/>
                <c:pt idx="0">
                  <c:v>Industrial (PNG)</c:v>
                </c:pt>
              </c:strCache>
            </c:strRef>
          </c:tx>
          <c:spPr>
            <a:solidFill>
              <a:schemeClr val="accent4">
                <a:alpha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anchor="ctr" anchorCtr="1"/>
              <a:lstStyle/>
              <a:p>
                <a:pPr>
                  <a:defRPr sz="12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'[7]3.12ABC'!$C$26:$C$30</c:f>
              <c:strCache>
                <c:ptCount val="5"/>
                <c:pt idx="0">
                  <c:v>October-2020 to March 2021</c:v>
                </c:pt>
                <c:pt idx="1">
                  <c:v>April-2021 to September 2021</c:v>
                </c:pt>
                <c:pt idx="2">
                  <c:v>October 2021 to March 2022</c:v>
                </c:pt>
                <c:pt idx="3">
                  <c:v>April-2022 to September 2022</c:v>
                </c:pt>
                <c:pt idx="4">
                  <c:v>October-2022 to March 2023</c:v>
                </c:pt>
              </c:strCache>
            </c:strRef>
          </c:cat>
          <c:val>
            <c:numRef>
              <c:f>'[7]3.12ABC'!$G$26:$G$30</c:f>
              <c:numCache>
                <c:formatCode>General</c:formatCode>
                <c:ptCount val="5"/>
                <c:pt idx="0">
                  <c:v>50.150938682083968</c:v>
                </c:pt>
                <c:pt idx="1">
                  <c:v>46.747935403394465</c:v>
                </c:pt>
                <c:pt idx="2">
                  <c:v>40.082815607264685</c:v>
                </c:pt>
                <c:pt idx="3">
                  <c:v>35.320586571307267</c:v>
                </c:pt>
                <c:pt idx="4">
                  <c:v>30.853431139438044</c:v>
                </c:pt>
              </c:numCache>
            </c:numRef>
          </c:val>
          <c:extLst>
            <c:ext xmlns:c16="http://schemas.microsoft.com/office/drawing/2014/chart" uri="{C3380CC4-5D6E-409C-BE32-E72D297353CC}">
              <c16:uniqueId val="{00000003-D37E-4D3A-96C4-9F33AF84691C}"/>
            </c:ext>
          </c:extLst>
        </c:ser>
        <c:dLbls>
          <c:dLblPos val="ctr"/>
          <c:showLegendKey val="0"/>
          <c:showVal val="1"/>
          <c:showCatName val="0"/>
          <c:showSerName val="0"/>
          <c:showPercent val="0"/>
          <c:showBubbleSize val="0"/>
        </c:dLbls>
        <c:gapWidth val="150"/>
        <c:overlap val="100"/>
        <c:axId val="1909021776"/>
        <c:axId val="1909026768"/>
      </c:barChart>
      <c:catAx>
        <c:axId val="190902177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1" i="0" u="none" strike="noStrike" kern="1200" cap="all" baseline="0">
                <a:solidFill>
                  <a:schemeClr val="dk1">
                    <a:lumMod val="75000"/>
                    <a:lumOff val="25000"/>
                  </a:schemeClr>
                </a:solidFill>
                <a:latin typeface="Book Antiqua" panose="02040602050305030304" pitchFamily="18" charset="0"/>
                <a:ea typeface="+mn-ea"/>
                <a:cs typeface="+mn-cs"/>
              </a:defRPr>
            </a:pPr>
            <a:endParaRPr lang="en-US"/>
          </a:p>
        </c:txPr>
        <c:crossAx val="1909026768"/>
        <c:crosses val="autoZero"/>
        <c:auto val="1"/>
        <c:lblAlgn val="ctr"/>
        <c:lblOffset val="100"/>
        <c:noMultiLvlLbl val="0"/>
      </c:catAx>
      <c:valAx>
        <c:axId val="1909026768"/>
        <c:scaling>
          <c:orientation val="minMax"/>
        </c:scaling>
        <c:delete val="1"/>
        <c:axPos val="l"/>
        <c:numFmt formatCode="0%" sourceLinked="1"/>
        <c:majorTickMark val="none"/>
        <c:minorTickMark val="none"/>
        <c:tickLblPos val="nextTo"/>
        <c:crossAx val="1909021776"/>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1200" b="1" i="0" u="none" strike="noStrike" kern="1200" baseline="0">
              <a:solidFill>
                <a:schemeClr val="dk1">
                  <a:lumMod val="75000"/>
                  <a:lumOff val="25000"/>
                </a:schemeClr>
              </a:solidFill>
              <a:latin typeface="Book Antiqua" panose="02040602050305030304" pitchFamily="18"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9525" cap="flat" cmpd="sng" algn="ctr">
      <a:solidFill>
        <a:schemeClr val="dk1">
          <a:lumMod val="25000"/>
          <a:lumOff val="75000"/>
        </a:schemeClr>
      </a:solidFill>
      <a:round/>
    </a:ln>
    <a:effectLst/>
  </c:spPr>
  <c:txPr>
    <a:bodyPr/>
    <a:lstStyle/>
    <a:p>
      <a:pPr>
        <a:defRPr b="1">
          <a:latin typeface="Book Antiqua" panose="02040602050305030304" pitchFamily="18" charset="0"/>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800" b="1" i="0" u="none" strike="noStrike" kern="1200" baseline="0">
                <a:solidFill>
                  <a:schemeClr val="dk1">
                    <a:lumMod val="75000"/>
                    <a:lumOff val="25000"/>
                  </a:schemeClr>
                </a:solidFill>
                <a:latin typeface="Book Antiqua" panose="02040602050305030304" pitchFamily="18" charset="0"/>
                <a:ea typeface="+mn-ea"/>
                <a:cs typeface="+mn-cs"/>
              </a:defRPr>
            </a:pPr>
            <a:r>
              <a:rPr lang="en-IN" sz="2800"/>
              <a:t>Segment wise trend in %</a:t>
            </a:r>
          </a:p>
        </c:rich>
      </c:tx>
      <c:overlay val="0"/>
      <c:spPr>
        <a:noFill/>
        <a:ln>
          <a:noFill/>
        </a:ln>
        <a:effectLst/>
      </c:spPr>
      <c:txPr>
        <a:bodyPr rot="0" spcFirstLastPara="1" vertOverflow="ellipsis" vert="horz" wrap="square" anchor="ctr" anchorCtr="1"/>
        <a:lstStyle/>
        <a:p>
          <a:pPr>
            <a:defRPr sz="2800" b="1" i="0" u="none" strike="noStrike" kern="1200" baseline="0">
              <a:solidFill>
                <a:schemeClr val="dk1">
                  <a:lumMod val="75000"/>
                  <a:lumOff val="25000"/>
                </a:schemeClr>
              </a:solidFill>
              <a:latin typeface="Book Antiqua" panose="02040602050305030304" pitchFamily="18" charset="0"/>
              <a:ea typeface="+mn-ea"/>
              <a:cs typeface="+mn-cs"/>
            </a:defRPr>
          </a:pPr>
          <a:endParaRPr lang="en-US"/>
        </a:p>
      </c:txPr>
    </c:title>
    <c:autoTitleDeleted val="0"/>
    <c:plotArea>
      <c:layout/>
      <c:barChart>
        <c:barDir val="col"/>
        <c:grouping val="clustered"/>
        <c:varyColors val="0"/>
        <c:ser>
          <c:idx val="0"/>
          <c:order val="0"/>
          <c:tx>
            <c:strRef>
              <c:f>'3.12BC'!$X$18:$Y$18</c:f>
              <c:strCache>
                <c:ptCount val="2"/>
                <c:pt idx="0">
                  <c:v>April-2021 to September 2021</c:v>
                </c:pt>
              </c:strCache>
            </c:strRef>
          </c:tx>
          <c:spPr>
            <a:solidFill>
              <a:schemeClr val="accent1">
                <a:alpha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anchor="ctr" anchorCtr="1"/>
              <a:lstStyle/>
              <a:p>
                <a:pPr>
                  <a:defRPr sz="9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'3.12BC'!$Z$17:$AC$17</c:f>
              <c:strCache>
                <c:ptCount val="4"/>
                <c:pt idx="0">
                  <c:v>CNG </c:v>
                </c:pt>
                <c:pt idx="1">
                  <c:v>Domestic (PNG)</c:v>
                </c:pt>
                <c:pt idx="2">
                  <c:v>Commercial (PNG)</c:v>
                </c:pt>
                <c:pt idx="3">
                  <c:v>Industrial (PNG)</c:v>
                </c:pt>
              </c:strCache>
            </c:strRef>
          </c:cat>
          <c:val>
            <c:numRef>
              <c:f>'3.12BC'!$Z$18:$AC$18</c:f>
              <c:numCache>
                <c:formatCode>0</c:formatCode>
                <c:ptCount val="4"/>
                <c:pt idx="0">
                  <c:v>0</c:v>
                </c:pt>
                <c:pt idx="1">
                  <c:v>0</c:v>
                </c:pt>
                <c:pt idx="2">
                  <c:v>0</c:v>
                </c:pt>
                <c:pt idx="3">
                  <c:v>0</c:v>
                </c:pt>
              </c:numCache>
            </c:numRef>
          </c:val>
          <c:extLst>
            <c:ext xmlns:c16="http://schemas.microsoft.com/office/drawing/2014/chart" uri="{C3380CC4-5D6E-409C-BE32-E72D297353CC}">
              <c16:uniqueId val="{00000000-2D39-4B84-A3DF-059BEC7C5CDE}"/>
            </c:ext>
          </c:extLst>
        </c:ser>
        <c:ser>
          <c:idx val="1"/>
          <c:order val="1"/>
          <c:tx>
            <c:strRef>
              <c:f>'3.12BC'!$X$19:$Y$19</c:f>
              <c:strCache>
                <c:ptCount val="2"/>
                <c:pt idx="0">
                  <c:v>October 2021 to March 2022</c:v>
                </c:pt>
              </c:strCache>
            </c:strRef>
          </c:tx>
          <c:spPr>
            <a:solidFill>
              <a:schemeClr val="accent2">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anchor="ctr" anchorCtr="1"/>
              <a:lstStyle/>
              <a:p>
                <a:pPr>
                  <a:defRPr sz="18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'3.12BC'!$Z$17:$AC$17</c:f>
              <c:strCache>
                <c:ptCount val="4"/>
                <c:pt idx="0">
                  <c:v>CNG </c:v>
                </c:pt>
                <c:pt idx="1">
                  <c:v>Domestic (PNG)</c:v>
                </c:pt>
                <c:pt idx="2">
                  <c:v>Commercial (PNG)</c:v>
                </c:pt>
                <c:pt idx="3">
                  <c:v>Industrial (PNG)</c:v>
                </c:pt>
              </c:strCache>
            </c:strRef>
          </c:cat>
          <c:val>
            <c:numRef>
              <c:f>'3.12BC'!$Z$19:$AC$19</c:f>
              <c:numCache>
                <c:formatCode>0</c:formatCode>
                <c:ptCount val="4"/>
                <c:pt idx="0">
                  <c:v>30.332908924474623</c:v>
                </c:pt>
                <c:pt idx="1">
                  <c:v>14.0702785055405</c:v>
                </c:pt>
                <c:pt idx="2">
                  <c:v>38.699856534408084</c:v>
                </c:pt>
                <c:pt idx="3">
                  <c:v>-2.3685958463887102</c:v>
                </c:pt>
              </c:numCache>
            </c:numRef>
          </c:val>
          <c:extLst>
            <c:ext xmlns:c16="http://schemas.microsoft.com/office/drawing/2014/chart" uri="{C3380CC4-5D6E-409C-BE32-E72D297353CC}">
              <c16:uniqueId val="{00000001-2D39-4B84-A3DF-059BEC7C5CDE}"/>
            </c:ext>
          </c:extLst>
        </c:ser>
        <c:ser>
          <c:idx val="2"/>
          <c:order val="2"/>
          <c:tx>
            <c:strRef>
              <c:f>'3.12BC'!$C$197</c:f>
              <c:strCache>
                <c:ptCount val="1"/>
                <c:pt idx="0">
                  <c:v>Apr-2022 to Sep-2022</c:v>
                </c:pt>
              </c:strCache>
            </c:strRef>
          </c:tx>
          <c:spPr>
            <a:solidFill>
              <a:schemeClr val="accent3">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anchor="ctr" anchorCtr="1"/>
              <a:lstStyle/>
              <a:p>
                <a:pPr>
                  <a:defRPr sz="18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'3.12BC'!$Z$17:$AC$17</c:f>
              <c:strCache>
                <c:ptCount val="4"/>
                <c:pt idx="0">
                  <c:v>CNG </c:v>
                </c:pt>
                <c:pt idx="1">
                  <c:v>Domestic (PNG)</c:v>
                </c:pt>
                <c:pt idx="2">
                  <c:v>Commercial (PNG)</c:v>
                </c:pt>
                <c:pt idx="3">
                  <c:v>Industrial (PNG)</c:v>
                </c:pt>
              </c:strCache>
            </c:strRef>
          </c:cat>
          <c:val>
            <c:numRef>
              <c:f>'3.12BC'!$D$197:$G$197</c:f>
              <c:numCache>
                <c:formatCode>0</c:formatCode>
                <c:ptCount val="4"/>
                <c:pt idx="0">
                  <c:v>9.7679285087657775</c:v>
                </c:pt>
                <c:pt idx="1">
                  <c:v>-8.2360849340965547</c:v>
                </c:pt>
                <c:pt idx="2">
                  <c:v>-1.0707425190708664</c:v>
                </c:pt>
                <c:pt idx="3">
                  <c:v>-12.670811312134722</c:v>
                </c:pt>
              </c:numCache>
            </c:numRef>
          </c:val>
          <c:extLst>
            <c:ext xmlns:c16="http://schemas.microsoft.com/office/drawing/2014/chart" uri="{C3380CC4-5D6E-409C-BE32-E72D297353CC}">
              <c16:uniqueId val="{00000002-2D39-4B84-A3DF-059BEC7C5CDE}"/>
            </c:ext>
          </c:extLst>
        </c:ser>
        <c:ser>
          <c:idx val="3"/>
          <c:order val="3"/>
          <c:tx>
            <c:strRef>
              <c:f>'3.12BC'!$C$198</c:f>
              <c:strCache>
                <c:ptCount val="1"/>
                <c:pt idx="0">
                  <c:v>Oct-2022 to Mar-2023</c:v>
                </c:pt>
              </c:strCache>
            </c:strRef>
          </c:tx>
          <c:spPr>
            <a:solidFill>
              <a:schemeClr val="accent4">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anchor="ctr" anchorCtr="1"/>
              <a:lstStyle/>
              <a:p>
                <a:pPr>
                  <a:defRPr sz="18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'3.12BC'!$Z$17:$AC$17</c:f>
              <c:strCache>
                <c:ptCount val="4"/>
                <c:pt idx="0">
                  <c:v>CNG </c:v>
                </c:pt>
                <c:pt idx="1">
                  <c:v>Domestic (PNG)</c:v>
                </c:pt>
                <c:pt idx="2">
                  <c:v>Commercial (PNG)</c:v>
                </c:pt>
                <c:pt idx="3">
                  <c:v>Industrial (PNG)</c:v>
                </c:pt>
              </c:strCache>
            </c:strRef>
          </c:cat>
          <c:val>
            <c:numRef>
              <c:f>'3.12BC'!$D$198:$G$198</c:f>
              <c:numCache>
                <c:formatCode>0</c:formatCode>
                <c:ptCount val="4"/>
                <c:pt idx="0">
                  <c:v>2.5586040426782919</c:v>
                </c:pt>
                <c:pt idx="1">
                  <c:v>13.143663928271398</c:v>
                </c:pt>
                <c:pt idx="2">
                  <c:v>2.9254646683275043</c:v>
                </c:pt>
                <c:pt idx="3">
                  <c:v>-15.18861323869235</c:v>
                </c:pt>
              </c:numCache>
            </c:numRef>
          </c:val>
          <c:extLst>
            <c:ext xmlns:c16="http://schemas.microsoft.com/office/drawing/2014/chart" uri="{C3380CC4-5D6E-409C-BE32-E72D297353CC}">
              <c16:uniqueId val="{00000003-2D39-4B84-A3DF-059BEC7C5CDE}"/>
            </c:ext>
          </c:extLst>
        </c:ser>
        <c:ser>
          <c:idx val="4"/>
          <c:order val="4"/>
          <c:tx>
            <c:strRef>
              <c:f>'3.12BC'!$C$199</c:f>
              <c:strCache>
                <c:ptCount val="1"/>
                <c:pt idx="0">
                  <c:v>Apr-2023 to Sep-2023</c:v>
                </c:pt>
              </c:strCache>
            </c:strRef>
          </c:tx>
          <c:spPr>
            <a:solidFill>
              <a:schemeClr val="accent5">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8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'3.12BC'!$Z$17:$AC$17</c:f>
              <c:strCache>
                <c:ptCount val="4"/>
                <c:pt idx="0">
                  <c:v>CNG </c:v>
                </c:pt>
                <c:pt idx="1">
                  <c:v>Domestic (PNG)</c:v>
                </c:pt>
                <c:pt idx="2">
                  <c:v>Commercial (PNG)</c:v>
                </c:pt>
                <c:pt idx="3">
                  <c:v>Industrial (PNG)</c:v>
                </c:pt>
              </c:strCache>
            </c:strRef>
          </c:cat>
          <c:val>
            <c:numRef>
              <c:f>'3.12BC'!$D$199:$G$199</c:f>
              <c:numCache>
                <c:formatCode>0</c:formatCode>
                <c:ptCount val="4"/>
                <c:pt idx="0">
                  <c:v>6.3346187022395473</c:v>
                </c:pt>
                <c:pt idx="1">
                  <c:v>-8.8156256200118914</c:v>
                </c:pt>
                <c:pt idx="2">
                  <c:v>-3.6042813223383874</c:v>
                </c:pt>
                <c:pt idx="3">
                  <c:v>10.686246223013661</c:v>
                </c:pt>
              </c:numCache>
            </c:numRef>
          </c:val>
          <c:extLst>
            <c:ext xmlns:c16="http://schemas.microsoft.com/office/drawing/2014/chart" uri="{C3380CC4-5D6E-409C-BE32-E72D297353CC}">
              <c16:uniqueId val="{00000004-2D39-4B84-A3DF-059BEC7C5CDE}"/>
            </c:ext>
          </c:extLst>
        </c:ser>
        <c:ser>
          <c:idx val="5"/>
          <c:order val="5"/>
          <c:tx>
            <c:strRef>
              <c:f>'3.12BC'!$C$200</c:f>
              <c:strCache>
                <c:ptCount val="1"/>
                <c:pt idx="0">
                  <c:v>Oct-2023 to Mar-2024</c:v>
                </c:pt>
              </c:strCache>
            </c:strRef>
          </c:tx>
          <c:spPr>
            <a:solidFill>
              <a:schemeClr val="accent6">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'3.12BC'!$Z$17:$AC$17</c:f>
              <c:strCache>
                <c:ptCount val="4"/>
                <c:pt idx="0">
                  <c:v>CNG </c:v>
                </c:pt>
                <c:pt idx="1">
                  <c:v>Domestic (PNG)</c:v>
                </c:pt>
                <c:pt idx="2">
                  <c:v>Commercial (PNG)</c:v>
                </c:pt>
                <c:pt idx="3">
                  <c:v>Industrial (PNG)</c:v>
                </c:pt>
              </c:strCache>
            </c:strRef>
          </c:cat>
          <c:val>
            <c:numRef>
              <c:f>'3.12BC'!$D$200:$G$200</c:f>
              <c:numCache>
                <c:formatCode>0</c:formatCode>
                <c:ptCount val="4"/>
                <c:pt idx="0">
                  <c:v>8.6242685229042984</c:v>
                </c:pt>
                <c:pt idx="1">
                  <c:v>20.031690471960072</c:v>
                </c:pt>
                <c:pt idx="2">
                  <c:v>23.610280876079681</c:v>
                </c:pt>
                <c:pt idx="3">
                  <c:v>6.5713969149878482</c:v>
                </c:pt>
              </c:numCache>
            </c:numRef>
          </c:val>
          <c:extLst>
            <c:ext xmlns:c16="http://schemas.microsoft.com/office/drawing/2014/chart" uri="{C3380CC4-5D6E-409C-BE32-E72D297353CC}">
              <c16:uniqueId val="{00000005-2D39-4B84-A3DF-059BEC7C5CDE}"/>
            </c:ext>
          </c:extLst>
        </c:ser>
        <c:dLbls>
          <c:dLblPos val="ctr"/>
          <c:showLegendKey val="0"/>
          <c:showVal val="1"/>
          <c:showCatName val="0"/>
          <c:showSerName val="0"/>
          <c:showPercent val="0"/>
          <c:showBubbleSize val="0"/>
        </c:dLbls>
        <c:gapWidth val="150"/>
        <c:axId val="632664783"/>
        <c:axId val="632671503"/>
      </c:barChart>
      <c:catAx>
        <c:axId val="632664783"/>
        <c:scaling>
          <c:orientation val="minMax"/>
        </c:scaling>
        <c:delete val="0"/>
        <c:axPos val="b"/>
        <c:numFmt formatCode="General" sourceLinked="1"/>
        <c:majorTickMark val="none"/>
        <c:minorTickMark val="none"/>
        <c:tickLblPos val="high"/>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1400" b="0" i="0" u="none" strike="noStrike" kern="1200" cap="all" baseline="0">
                <a:solidFill>
                  <a:schemeClr val="dk1">
                    <a:lumMod val="75000"/>
                    <a:lumOff val="25000"/>
                  </a:schemeClr>
                </a:solidFill>
                <a:latin typeface="Book Antiqua" panose="02040602050305030304" pitchFamily="18" charset="0"/>
                <a:ea typeface="+mn-ea"/>
                <a:cs typeface="+mn-cs"/>
              </a:defRPr>
            </a:pPr>
            <a:endParaRPr lang="en-US"/>
          </a:p>
        </c:txPr>
        <c:crossAx val="632671503"/>
        <c:crosses val="autoZero"/>
        <c:auto val="1"/>
        <c:lblAlgn val="ctr"/>
        <c:lblOffset val="500"/>
        <c:noMultiLvlLbl val="0"/>
      </c:catAx>
      <c:valAx>
        <c:axId val="632671503"/>
        <c:scaling>
          <c:orientation val="minMax"/>
        </c:scaling>
        <c:delete val="1"/>
        <c:axPos val="l"/>
        <c:majorGridlines>
          <c:spPr>
            <a:ln w="9525" cap="flat" cmpd="sng" algn="ctr">
              <a:gradFill>
                <a:gsLst>
                  <a:gs pos="100000">
                    <a:schemeClr val="dk1">
                      <a:lumMod val="95000"/>
                      <a:lumOff val="5000"/>
                      <a:alpha val="42000"/>
                    </a:schemeClr>
                  </a:gs>
                  <a:gs pos="0">
                    <a:schemeClr val="lt1">
                      <a:lumMod val="75000"/>
                      <a:alpha val="36000"/>
                    </a:schemeClr>
                  </a:gs>
                </a:gsLst>
                <a:lin ang="5400000" scaled="0"/>
              </a:gradFill>
              <a:round/>
            </a:ln>
            <a:effectLst/>
          </c:spPr>
        </c:majorGridlines>
        <c:numFmt formatCode="0" sourceLinked="1"/>
        <c:majorTickMark val="none"/>
        <c:minorTickMark val="none"/>
        <c:tickLblPos val="nextTo"/>
        <c:crossAx val="632664783"/>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1600" b="0" i="0" u="none" strike="noStrike" kern="1200" baseline="0">
              <a:solidFill>
                <a:schemeClr val="dk1">
                  <a:lumMod val="75000"/>
                  <a:lumOff val="25000"/>
                </a:schemeClr>
              </a:solidFill>
              <a:latin typeface="Book Antiqua" panose="02040602050305030304" pitchFamily="18"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9525" cap="flat" cmpd="sng" algn="ctr">
      <a:solidFill>
        <a:schemeClr val="dk1">
          <a:lumMod val="25000"/>
          <a:lumOff val="75000"/>
        </a:schemeClr>
      </a:solidFill>
      <a:round/>
    </a:ln>
    <a:effectLst/>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baseline="0">
                <a:solidFill>
                  <a:schemeClr val="dk1">
                    <a:lumMod val="75000"/>
                    <a:lumOff val="25000"/>
                  </a:schemeClr>
                </a:solidFill>
                <a:latin typeface="Book Antiqua" panose="02040602050305030304" pitchFamily="18" charset="0"/>
                <a:ea typeface="+mn-ea"/>
                <a:cs typeface="+mn-cs"/>
              </a:defRPr>
            </a:pPr>
            <a:r>
              <a:rPr lang="en-US"/>
              <a:t>Chart</a:t>
            </a:r>
            <a:r>
              <a:rPr lang="en-US" baseline="0"/>
              <a:t> 3.12D: </a:t>
            </a:r>
            <a:r>
              <a:rPr lang="en-US"/>
              <a:t>CGD sales segmentwise in % </a:t>
            </a:r>
          </a:p>
        </c:rich>
      </c:tx>
      <c:overlay val="0"/>
      <c:spPr>
        <a:noFill/>
        <a:ln>
          <a:noFill/>
        </a:ln>
        <a:effectLst/>
      </c:spPr>
      <c:txPr>
        <a:bodyPr rot="0" spcFirstLastPara="1" vertOverflow="ellipsis" vert="horz" wrap="square" anchor="ctr" anchorCtr="1"/>
        <a:lstStyle/>
        <a:p>
          <a:pPr>
            <a:defRPr sz="1800" b="1" i="0" u="none" strike="noStrike" kern="1200" baseline="0">
              <a:solidFill>
                <a:schemeClr val="dk1">
                  <a:lumMod val="75000"/>
                  <a:lumOff val="25000"/>
                </a:schemeClr>
              </a:solidFill>
              <a:latin typeface="Book Antiqua" panose="02040602050305030304" pitchFamily="18" charset="0"/>
              <a:ea typeface="+mn-ea"/>
              <a:cs typeface="+mn-cs"/>
            </a:defRPr>
          </a:pPr>
          <a:endParaRPr lang="en-US"/>
        </a:p>
      </c:txPr>
    </c:title>
    <c:autoTitleDeleted val="0"/>
    <c:plotArea>
      <c:layout/>
      <c:barChart>
        <c:barDir val="col"/>
        <c:grouping val="percentStacked"/>
        <c:varyColors val="0"/>
        <c:ser>
          <c:idx val="0"/>
          <c:order val="0"/>
          <c:tx>
            <c:strRef>
              <c:f>'3.12BC'!$D$123</c:f>
              <c:strCache>
                <c:ptCount val="1"/>
                <c:pt idx="0">
                  <c:v>CNG </c:v>
                </c:pt>
              </c:strCache>
            </c:strRef>
          </c:tx>
          <c:spPr>
            <a:solidFill>
              <a:schemeClr val="accent1">
                <a:alpha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'3.12BC'!$C$124:$C$129</c:f>
              <c:strCache>
                <c:ptCount val="6"/>
                <c:pt idx="0">
                  <c:v>Apr-2021 to Sep-2021</c:v>
                </c:pt>
                <c:pt idx="1">
                  <c:v>Oct-2021 to Mar-2022</c:v>
                </c:pt>
                <c:pt idx="2">
                  <c:v>Apr-2022 to Sep-2022</c:v>
                </c:pt>
                <c:pt idx="3">
                  <c:v>Oct-2022 to Mar-2023</c:v>
                </c:pt>
                <c:pt idx="4">
                  <c:v>Apr-2023 to Sep-2023</c:v>
                </c:pt>
                <c:pt idx="5">
                  <c:v>Oct-2023 to Mar-2024</c:v>
                </c:pt>
              </c:strCache>
            </c:strRef>
          </c:cat>
          <c:val>
            <c:numRef>
              <c:f>'3.12BC'!$D$124:$D$129</c:f>
              <c:numCache>
                <c:formatCode>0.0</c:formatCode>
                <c:ptCount val="6"/>
                <c:pt idx="0">
                  <c:v>43.560678403088176</c:v>
                </c:pt>
                <c:pt idx="1">
                  <c:v>49.860309881415169</c:v>
                </c:pt>
                <c:pt idx="2">
                  <c:v>55.225633041108203</c:v>
                </c:pt>
                <c:pt idx="3">
                  <c:v>58.335671296088087</c:v>
                </c:pt>
                <c:pt idx="4">
                  <c:v>58.438520971310993</c:v>
                </c:pt>
                <c:pt idx="5">
                  <c:v>58.182505843532759</c:v>
                </c:pt>
              </c:numCache>
            </c:numRef>
          </c:val>
          <c:extLst>
            <c:ext xmlns:c16="http://schemas.microsoft.com/office/drawing/2014/chart" uri="{C3380CC4-5D6E-409C-BE32-E72D297353CC}">
              <c16:uniqueId val="{00000000-8DDC-43F3-B93E-07F87A267C3A}"/>
            </c:ext>
          </c:extLst>
        </c:ser>
        <c:ser>
          <c:idx val="1"/>
          <c:order val="1"/>
          <c:tx>
            <c:strRef>
              <c:f>'3.12BC'!$E$123</c:f>
              <c:strCache>
                <c:ptCount val="1"/>
                <c:pt idx="0">
                  <c:v>Domestic (PNG)</c:v>
                </c:pt>
              </c:strCache>
            </c:strRef>
          </c:tx>
          <c:spPr>
            <a:solidFill>
              <a:schemeClr val="accent2">
                <a:alpha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'3.12BC'!$C$124:$C$129</c:f>
              <c:strCache>
                <c:ptCount val="6"/>
                <c:pt idx="0">
                  <c:v>Apr-2021 to Sep-2021</c:v>
                </c:pt>
                <c:pt idx="1">
                  <c:v>Oct-2021 to Mar-2022</c:v>
                </c:pt>
                <c:pt idx="2">
                  <c:v>Apr-2022 to Sep-2022</c:v>
                </c:pt>
                <c:pt idx="3">
                  <c:v>Oct-2022 to Mar-2023</c:v>
                </c:pt>
                <c:pt idx="4">
                  <c:v>Apr-2023 to Sep-2023</c:v>
                </c:pt>
                <c:pt idx="5">
                  <c:v>Oct-2023 to Mar-2024</c:v>
                </c:pt>
              </c:strCache>
            </c:strRef>
          </c:cat>
          <c:val>
            <c:numRef>
              <c:f>'3.12BC'!$E$124:$E$129</c:f>
              <c:numCache>
                <c:formatCode>0.0</c:formatCode>
                <c:ptCount val="6"/>
                <c:pt idx="0">
                  <c:v>8.0820781708272289</c:v>
                </c:pt>
                <c:pt idx="1">
                  <c:v>8.0965834919684951</c:v>
                </c:pt>
                <c:pt idx="2">
                  <c:v>7.496939290259454</c:v>
                </c:pt>
                <c:pt idx="3">
                  <c:v>8.7364627293862149</c:v>
                </c:pt>
                <c:pt idx="4">
                  <c:v>7.5049255625283697</c:v>
                </c:pt>
                <c:pt idx="5">
                  <c:v>8.2567408284968398</c:v>
                </c:pt>
              </c:numCache>
            </c:numRef>
          </c:val>
          <c:extLst>
            <c:ext xmlns:c16="http://schemas.microsoft.com/office/drawing/2014/chart" uri="{C3380CC4-5D6E-409C-BE32-E72D297353CC}">
              <c16:uniqueId val="{00000001-8DDC-43F3-B93E-07F87A267C3A}"/>
            </c:ext>
          </c:extLst>
        </c:ser>
        <c:ser>
          <c:idx val="2"/>
          <c:order val="2"/>
          <c:tx>
            <c:strRef>
              <c:f>'3.12BC'!$F$123</c:f>
              <c:strCache>
                <c:ptCount val="1"/>
                <c:pt idx="0">
                  <c:v>Commercial (PNG)</c:v>
                </c:pt>
              </c:strCache>
            </c:strRef>
          </c:tx>
          <c:spPr>
            <a:solidFill>
              <a:schemeClr val="accent3">
                <a:alpha val="85000"/>
              </a:schemeClr>
            </a:solidFill>
            <a:ln w="9525" cap="flat" cmpd="sng" algn="ctr">
              <a:solidFill>
                <a:schemeClr val="lt1">
                  <a:alpha val="50000"/>
                </a:schemeClr>
              </a:solidFill>
              <a:round/>
            </a:ln>
            <a:effectLst/>
          </c:spPr>
          <c:invertIfNegative val="0"/>
          <c:dLbls>
            <c:dLbl>
              <c:idx val="0"/>
              <c:layout>
                <c:manualLayout>
                  <c:x val="3.9123100373240502E-2"/>
                  <c:y val="-1.9863017126612887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8DDC-43F3-B93E-07F87A267C3A}"/>
                </c:ext>
              </c:extLst>
            </c:dLbl>
            <c:dLbl>
              <c:idx val="2"/>
              <c:layout>
                <c:manualLayout>
                  <c:x val="4.1079255391902568E-2"/>
                  <c:y val="-7.945206850645125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DDC-43F3-B93E-07F87A267C3A}"/>
                </c:ext>
              </c:extLst>
            </c:dLbl>
            <c:dLbl>
              <c:idx val="3"/>
              <c:layout>
                <c:manualLayout>
                  <c:x val="4.6947720447888648E-2"/>
                  <c:y val="1.1917810275967652E-2"/>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8DDC-43F3-B93E-07F87A267C3A}"/>
                </c:ext>
              </c:extLst>
            </c:dLbl>
            <c:dLbl>
              <c:idx val="4"/>
              <c:layout>
                <c:manualLayout>
                  <c:x val="4.1079255391902568E-2"/>
                  <c:y val="-3.9726034253226355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DDC-43F3-B93E-07F87A267C3A}"/>
                </c:ext>
              </c:extLst>
            </c:dLbl>
            <c:dLbl>
              <c:idx val="5"/>
              <c:layout>
                <c:manualLayout>
                  <c:x val="4.1079255391902568E-2"/>
                  <c:y val="-3.6415110728323603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8DDC-43F3-B93E-07F87A267C3A}"/>
                </c:ext>
              </c:extLst>
            </c:dLbl>
            <c:spPr>
              <a:noFill/>
              <a:ln>
                <a:noFill/>
              </a:ln>
              <a:effectLst/>
            </c:spPr>
            <c:txPr>
              <a:bodyPr rot="0" spcFirstLastPara="1" vertOverflow="ellipsis" vert="horz" wrap="square" anchor="ctr" anchorCtr="1"/>
              <a:lstStyle/>
              <a:p>
                <a:pPr>
                  <a:defRPr sz="16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'3.12BC'!$C$124:$C$129</c:f>
              <c:strCache>
                <c:ptCount val="6"/>
                <c:pt idx="0">
                  <c:v>Apr-2021 to Sep-2021</c:v>
                </c:pt>
                <c:pt idx="1">
                  <c:v>Oct-2021 to Mar-2022</c:v>
                </c:pt>
                <c:pt idx="2">
                  <c:v>Apr-2022 to Sep-2022</c:v>
                </c:pt>
                <c:pt idx="3">
                  <c:v>Oct-2022 to Mar-2023</c:v>
                </c:pt>
                <c:pt idx="4">
                  <c:v>Apr-2023 to Sep-2023</c:v>
                </c:pt>
                <c:pt idx="5">
                  <c:v>Oct-2023 to Mar-2024</c:v>
                </c:pt>
              </c:strCache>
            </c:strRef>
          </c:cat>
          <c:val>
            <c:numRef>
              <c:f>'3.12BC'!$F$124:$F$129</c:f>
              <c:numCache>
                <c:formatCode>0.0</c:formatCode>
                <c:ptCount val="6"/>
                <c:pt idx="0">
                  <c:v>1.60930473212926</c:v>
                </c:pt>
                <c:pt idx="1">
                  <c:v>1.9602910193516585</c:v>
                </c:pt>
                <c:pt idx="2">
                  <c:v>1.9568410973250145</c:v>
                </c:pt>
                <c:pt idx="3">
                  <c:v>2.0744348185856851</c:v>
                </c:pt>
                <c:pt idx="4">
                  <c:v>1.8838567545859406</c:v>
                </c:pt>
                <c:pt idx="5">
                  <c:v>2.1343655918535163</c:v>
                </c:pt>
              </c:numCache>
            </c:numRef>
          </c:val>
          <c:extLst>
            <c:ext xmlns:c16="http://schemas.microsoft.com/office/drawing/2014/chart" uri="{C3380CC4-5D6E-409C-BE32-E72D297353CC}">
              <c16:uniqueId val="{00000007-8DDC-43F3-B93E-07F87A267C3A}"/>
            </c:ext>
          </c:extLst>
        </c:ser>
        <c:ser>
          <c:idx val="3"/>
          <c:order val="3"/>
          <c:tx>
            <c:strRef>
              <c:f>'3.12BC'!$G$123</c:f>
              <c:strCache>
                <c:ptCount val="1"/>
                <c:pt idx="0">
                  <c:v>Industrial (PNG)</c:v>
                </c:pt>
              </c:strCache>
            </c:strRef>
          </c:tx>
          <c:spPr>
            <a:solidFill>
              <a:schemeClr val="accent4">
                <a:alpha val="85000"/>
              </a:schemeClr>
            </a:solidFill>
            <a:ln w="9525" cap="flat" cmpd="sng" algn="ctr">
              <a:solidFill>
                <a:schemeClr val="lt1">
                  <a:alpha val="50000"/>
                </a:schemeClr>
              </a:solidFill>
              <a:round/>
            </a:ln>
            <a:effectLst/>
          </c:spPr>
          <c:invertIfNegative val="0"/>
          <c:dLbls>
            <c:spPr>
              <a:noFill/>
              <a:ln>
                <a:noFill/>
              </a:ln>
              <a:effectLst/>
            </c:spPr>
            <c:txPr>
              <a:bodyPr rot="0" spcFirstLastPara="1" vertOverflow="ellipsis" vert="horz" wrap="square" anchor="ctr" anchorCtr="1"/>
              <a:lstStyle/>
              <a:p>
                <a:pPr>
                  <a:defRPr sz="12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'3.12BC'!$C$124:$C$129</c:f>
              <c:strCache>
                <c:ptCount val="6"/>
                <c:pt idx="0">
                  <c:v>Apr-2021 to Sep-2021</c:v>
                </c:pt>
                <c:pt idx="1">
                  <c:v>Oct-2021 to Mar-2022</c:v>
                </c:pt>
                <c:pt idx="2">
                  <c:v>Apr-2022 to Sep-2022</c:v>
                </c:pt>
                <c:pt idx="3">
                  <c:v>Oct-2022 to Mar-2023</c:v>
                </c:pt>
                <c:pt idx="4">
                  <c:v>Apr-2023 to Sep-2023</c:v>
                </c:pt>
                <c:pt idx="5">
                  <c:v>Oct-2023 to Mar-2024</c:v>
                </c:pt>
              </c:strCache>
            </c:strRef>
          </c:cat>
          <c:val>
            <c:numRef>
              <c:f>'3.12BC'!$G$124:$G$129</c:f>
              <c:numCache>
                <c:formatCode>0.0</c:formatCode>
                <c:ptCount val="6"/>
                <c:pt idx="0">
                  <c:v>46.747935403394465</c:v>
                </c:pt>
                <c:pt idx="1">
                  <c:v>40.082815607264685</c:v>
                </c:pt>
                <c:pt idx="2">
                  <c:v>35.320586571307267</c:v>
                </c:pt>
                <c:pt idx="3">
                  <c:v>30.853431139438044</c:v>
                </c:pt>
                <c:pt idx="4">
                  <c:v>32.172696711574694</c:v>
                </c:pt>
                <c:pt idx="5">
                  <c:v>31.426387736116883</c:v>
                </c:pt>
              </c:numCache>
            </c:numRef>
          </c:val>
          <c:extLst>
            <c:ext xmlns:c16="http://schemas.microsoft.com/office/drawing/2014/chart" uri="{C3380CC4-5D6E-409C-BE32-E72D297353CC}">
              <c16:uniqueId val="{00000008-8DDC-43F3-B93E-07F87A267C3A}"/>
            </c:ext>
          </c:extLst>
        </c:ser>
        <c:dLbls>
          <c:dLblPos val="ctr"/>
          <c:showLegendKey val="0"/>
          <c:showVal val="1"/>
          <c:showCatName val="0"/>
          <c:showSerName val="0"/>
          <c:showPercent val="0"/>
          <c:showBubbleSize val="0"/>
        </c:dLbls>
        <c:gapWidth val="150"/>
        <c:overlap val="100"/>
        <c:axId val="1909021776"/>
        <c:axId val="1909026768"/>
      </c:barChart>
      <c:catAx>
        <c:axId val="190902177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900" b="1" i="0" u="none" strike="noStrike" kern="1200" cap="all" baseline="0">
                <a:solidFill>
                  <a:schemeClr val="dk1">
                    <a:lumMod val="75000"/>
                    <a:lumOff val="25000"/>
                  </a:schemeClr>
                </a:solidFill>
                <a:latin typeface="Book Antiqua" panose="02040602050305030304" pitchFamily="18" charset="0"/>
                <a:ea typeface="+mn-ea"/>
                <a:cs typeface="+mn-cs"/>
              </a:defRPr>
            </a:pPr>
            <a:endParaRPr lang="en-US"/>
          </a:p>
        </c:txPr>
        <c:crossAx val="1909026768"/>
        <c:crosses val="autoZero"/>
        <c:auto val="1"/>
        <c:lblAlgn val="ctr"/>
        <c:lblOffset val="100"/>
        <c:noMultiLvlLbl val="0"/>
      </c:catAx>
      <c:valAx>
        <c:axId val="1909026768"/>
        <c:scaling>
          <c:orientation val="minMax"/>
        </c:scaling>
        <c:delete val="1"/>
        <c:axPos val="l"/>
        <c:numFmt formatCode="0%" sourceLinked="1"/>
        <c:majorTickMark val="none"/>
        <c:minorTickMark val="none"/>
        <c:tickLblPos val="nextTo"/>
        <c:crossAx val="1909021776"/>
        <c:crosses val="autoZero"/>
        <c:crossBetween val="between"/>
      </c:valAx>
      <c:spPr>
        <a:noFill/>
        <a:ln>
          <a:noFill/>
        </a:ln>
        <a:effectLst/>
      </c:spPr>
    </c:plotArea>
    <c:legend>
      <c:legendPos val="b"/>
      <c:overlay val="0"/>
      <c:spPr>
        <a:solidFill>
          <a:schemeClr val="lt1">
            <a:lumMod val="95000"/>
            <a:alpha val="39000"/>
          </a:schemeClr>
        </a:solidFill>
        <a:ln>
          <a:noFill/>
        </a:ln>
        <a:effectLst/>
      </c:spPr>
      <c:txPr>
        <a:bodyPr rot="0" spcFirstLastPara="1" vertOverflow="ellipsis" vert="horz" wrap="square" anchor="ctr" anchorCtr="1"/>
        <a:lstStyle/>
        <a:p>
          <a:pPr>
            <a:defRPr sz="1200" b="1" i="0" u="none" strike="noStrike" kern="1200" baseline="0">
              <a:solidFill>
                <a:schemeClr val="dk1">
                  <a:lumMod val="75000"/>
                  <a:lumOff val="25000"/>
                </a:schemeClr>
              </a:solidFill>
              <a:latin typeface="Book Antiqua" panose="02040602050305030304" pitchFamily="18"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9525" cap="flat" cmpd="sng" algn="ctr">
      <a:solidFill>
        <a:schemeClr val="dk1">
          <a:lumMod val="25000"/>
          <a:lumOff val="75000"/>
        </a:schemeClr>
      </a:solidFill>
      <a:round/>
    </a:ln>
    <a:effectLst/>
  </c:spPr>
  <c:txPr>
    <a:bodyPr/>
    <a:lstStyle/>
    <a:p>
      <a:pPr>
        <a:defRPr b="1">
          <a:latin typeface="Book Antiqua" panose="02040602050305030304" pitchFamily="18" charset="0"/>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200" b="1" i="0" u="none" strike="noStrike" kern="1200" baseline="0">
                <a:solidFill>
                  <a:schemeClr val="tx1"/>
                </a:solidFill>
                <a:latin typeface="Book Antiqua" panose="02040602050305030304" pitchFamily="18" charset="0"/>
                <a:ea typeface="+mn-ea"/>
                <a:cs typeface="+mn-cs"/>
              </a:defRPr>
            </a:pPr>
            <a:r>
              <a:rPr lang="en-US" sz="1200"/>
              <a:t>CGD basket segment-wise Percentage (%) </a:t>
            </a:r>
          </a:p>
        </c:rich>
      </c:tx>
      <c:overlay val="0"/>
      <c:spPr>
        <a:noFill/>
        <a:ln>
          <a:noFill/>
        </a:ln>
        <a:effectLst/>
      </c:spPr>
      <c:txPr>
        <a:bodyPr rot="0" spcFirstLastPara="1" vertOverflow="ellipsis" vert="horz" wrap="square" anchor="ctr" anchorCtr="1"/>
        <a:lstStyle/>
        <a:p>
          <a:pPr>
            <a:defRPr sz="1200" b="1" i="0" u="none" strike="noStrike" kern="1200" baseline="0">
              <a:solidFill>
                <a:schemeClr val="tx1"/>
              </a:solidFill>
              <a:latin typeface="Book Antiqua" panose="02040602050305030304" pitchFamily="18" charset="0"/>
              <a:ea typeface="+mn-ea"/>
              <a:cs typeface="+mn-cs"/>
            </a:defRPr>
          </a:pPr>
          <a:endParaRPr lang="en-US"/>
        </a:p>
      </c:txPr>
    </c:title>
    <c:autoTitleDeleted val="0"/>
    <c:plotArea>
      <c:layout/>
      <c:barChart>
        <c:barDir val="col"/>
        <c:grouping val="percentStacked"/>
        <c:varyColors val="0"/>
        <c:ser>
          <c:idx val="0"/>
          <c:order val="0"/>
          <c:tx>
            <c:strRef>
              <c:f>'3.12BC'!$D$123</c:f>
              <c:strCache>
                <c:ptCount val="1"/>
                <c:pt idx="0">
                  <c:v>CNG </c:v>
                </c:pt>
              </c:strCache>
            </c:strRef>
          </c:tx>
          <c:spPr>
            <a:solidFill>
              <a:schemeClr val="accent1">
                <a:alpha val="85000"/>
              </a:schemeClr>
            </a:solidFill>
            <a:ln w="9525" cap="flat" cmpd="sng" algn="ctr">
              <a:solidFill>
                <a:schemeClr val="lt1">
                  <a:alpha val="50000"/>
                </a:schemeClr>
              </a:solidFill>
              <a:round/>
            </a:ln>
            <a:effectLst/>
          </c:spPr>
          <c:invertIfNegative val="0"/>
          <c:dLbls>
            <c:numFmt formatCode="#,##0.0" sourceLinked="0"/>
            <c:spPr>
              <a:noFill/>
              <a:ln>
                <a:noFill/>
              </a:ln>
              <a:effectLst/>
            </c:spPr>
            <c:txPr>
              <a:bodyPr rot="0" spcFirstLastPara="1" vertOverflow="ellipsis" vert="horz" wrap="square" anchor="ctr" anchorCtr="1"/>
              <a:lstStyle/>
              <a:p>
                <a:pPr>
                  <a:defRPr sz="900" b="1" i="0" u="none" strike="noStrike" kern="1200" baseline="0">
                    <a:solidFill>
                      <a:schemeClr val="bg1"/>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'3.12BC'!$C$124:$C$133</c:f>
              <c:strCache>
                <c:ptCount val="10"/>
                <c:pt idx="0">
                  <c:v>Apr-2021 to Sep-2021</c:v>
                </c:pt>
                <c:pt idx="1">
                  <c:v>Oct-2021 to Mar-2022</c:v>
                </c:pt>
                <c:pt idx="2">
                  <c:v>Apr-2022 to Sep-2022</c:v>
                </c:pt>
                <c:pt idx="3">
                  <c:v>Oct-2022 to Mar-2023</c:v>
                </c:pt>
                <c:pt idx="4">
                  <c:v>Apr-2023 to Sep-2023</c:v>
                </c:pt>
                <c:pt idx="5">
                  <c:v>Oct-2023 to Mar-2024</c:v>
                </c:pt>
                <c:pt idx="6">
                  <c:v>Apr-2024 to Sep-2024</c:v>
                </c:pt>
                <c:pt idx="7">
                  <c:v>Oct--2024 to Mar-2025</c:v>
                </c:pt>
                <c:pt idx="8">
                  <c:v>Apr-2025 to Sep-2025</c:v>
                </c:pt>
                <c:pt idx="9">
                  <c:v>Oct-2025 to Mar-2026(P)</c:v>
                </c:pt>
              </c:strCache>
            </c:strRef>
          </c:cat>
          <c:val>
            <c:numRef>
              <c:f>'3.12BC'!$D$124:$D$133</c:f>
              <c:numCache>
                <c:formatCode>0.0</c:formatCode>
                <c:ptCount val="10"/>
                <c:pt idx="0">
                  <c:v>43.560678403088176</c:v>
                </c:pt>
                <c:pt idx="1">
                  <c:v>49.860309881415169</c:v>
                </c:pt>
                <c:pt idx="2">
                  <c:v>55.225633041108203</c:v>
                </c:pt>
                <c:pt idx="3">
                  <c:v>58.335671296088087</c:v>
                </c:pt>
                <c:pt idx="4">
                  <c:v>58.438520971310993</c:v>
                </c:pt>
                <c:pt idx="5">
                  <c:v>58.182505843532759</c:v>
                </c:pt>
                <c:pt idx="6">
                  <c:v>58.960097891192341</c:v>
                </c:pt>
                <c:pt idx="7">
                  <c:v>60.636552102095273</c:v>
                </c:pt>
                <c:pt idx="8">
                  <c:v>62.508265040318456</c:v>
                </c:pt>
                <c:pt idx="9">
                  <c:v>63.376103485563306</c:v>
                </c:pt>
              </c:numCache>
            </c:numRef>
          </c:val>
          <c:extLst>
            <c:ext xmlns:c16="http://schemas.microsoft.com/office/drawing/2014/chart" uri="{C3380CC4-5D6E-409C-BE32-E72D297353CC}">
              <c16:uniqueId val="{00000000-4382-4ECB-B8B1-0828CD15CCD3}"/>
            </c:ext>
          </c:extLst>
        </c:ser>
        <c:ser>
          <c:idx val="1"/>
          <c:order val="1"/>
          <c:tx>
            <c:strRef>
              <c:f>'3.12BC'!$E$123</c:f>
              <c:strCache>
                <c:ptCount val="1"/>
                <c:pt idx="0">
                  <c:v>Domestic (PNG)</c:v>
                </c:pt>
              </c:strCache>
            </c:strRef>
          </c:tx>
          <c:spPr>
            <a:solidFill>
              <a:schemeClr val="accent2">
                <a:alpha val="85000"/>
              </a:schemeClr>
            </a:solidFill>
            <a:ln w="9525" cap="flat" cmpd="sng" algn="ctr">
              <a:solidFill>
                <a:schemeClr val="lt1">
                  <a:alpha val="50000"/>
                </a:schemeClr>
              </a:solidFill>
              <a:round/>
            </a:ln>
            <a:effectLst/>
          </c:spPr>
          <c:invertIfNegative val="0"/>
          <c:dLbls>
            <c:numFmt formatCode="#,##0.0" sourceLinked="0"/>
            <c:spPr>
              <a:noFill/>
              <a:ln>
                <a:noFill/>
              </a:ln>
              <a:effectLst/>
            </c:spPr>
            <c:txPr>
              <a:bodyPr rot="0" spcFirstLastPara="1" vertOverflow="ellipsis" vert="horz" wrap="square" anchor="ctr" anchorCtr="1"/>
              <a:lstStyle/>
              <a:p>
                <a:pPr>
                  <a:defRPr sz="900" b="1" i="0" u="none" strike="noStrike" kern="1200" baseline="0">
                    <a:solidFill>
                      <a:schemeClr val="bg1"/>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'3.12BC'!$C$124:$C$133</c:f>
              <c:strCache>
                <c:ptCount val="10"/>
                <c:pt idx="0">
                  <c:v>Apr-2021 to Sep-2021</c:v>
                </c:pt>
                <c:pt idx="1">
                  <c:v>Oct-2021 to Mar-2022</c:v>
                </c:pt>
                <c:pt idx="2">
                  <c:v>Apr-2022 to Sep-2022</c:v>
                </c:pt>
                <c:pt idx="3">
                  <c:v>Oct-2022 to Mar-2023</c:v>
                </c:pt>
                <c:pt idx="4">
                  <c:v>Apr-2023 to Sep-2023</c:v>
                </c:pt>
                <c:pt idx="5">
                  <c:v>Oct-2023 to Mar-2024</c:v>
                </c:pt>
                <c:pt idx="6">
                  <c:v>Apr-2024 to Sep-2024</c:v>
                </c:pt>
                <c:pt idx="7">
                  <c:v>Oct--2024 to Mar-2025</c:v>
                </c:pt>
                <c:pt idx="8">
                  <c:v>Apr-2025 to Sep-2025</c:v>
                </c:pt>
                <c:pt idx="9">
                  <c:v>Oct-2025 to Mar-2026(P)</c:v>
                </c:pt>
              </c:strCache>
            </c:strRef>
          </c:cat>
          <c:val>
            <c:numRef>
              <c:f>'3.12BC'!$E$124:$E$133</c:f>
              <c:numCache>
                <c:formatCode>0.0</c:formatCode>
                <c:ptCount val="10"/>
                <c:pt idx="0">
                  <c:v>8.0820781708272289</c:v>
                </c:pt>
                <c:pt idx="1">
                  <c:v>8.0965834919684951</c:v>
                </c:pt>
                <c:pt idx="2">
                  <c:v>7.496939290259454</c:v>
                </c:pt>
                <c:pt idx="3">
                  <c:v>8.7364627293862149</c:v>
                </c:pt>
                <c:pt idx="4">
                  <c:v>7.5049255625283697</c:v>
                </c:pt>
                <c:pt idx="5">
                  <c:v>8.2567408284968398</c:v>
                </c:pt>
                <c:pt idx="6">
                  <c:v>7.528848517896539</c:v>
                </c:pt>
                <c:pt idx="7">
                  <c:v>8.1675479513620726</c:v>
                </c:pt>
                <c:pt idx="8">
                  <c:v>7.6105645088745728</c:v>
                </c:pt>
                <c:pt idx="9">
                  <c:v>7.8522911009151404</c:v>
                </c:pt>
              </c:numCache>
            </c:numRef>
          </c:val>
          <c:extLst>
            <c:ext xmlns:c16="http://schemas.microsoft.com/office/drawing/2014/chart" uri="{C3380CC4-5D6E-409C-BE32-E72D297353CC}">
              <c16:uniqueId val="{00000001-4382-4ECB-B8B1-0828CD15CCD3}"/>
            </c:ext>
          </c:extLst>
        </c:ser>
        <c:ser>
          <c:idx val="2"/>
          <c:order val="2"/>
          <c:tx>
            <c:strRef>
              <c:f>'3.12BC'!$F$123</c:f>
              <c:strCache>
                <c:ptCount val="1"/>
                <c:pt idx="0">
                  <c:v>Commercial (PNG)</c:v>
                </c:pt>
              </c:strCache>
            </c:strRef>
          </c:tx>
          <c:spPr>
            <a:solidFill>
              <a:schemeClr val="accent3">
                <a:alpha val="85000"/>
              </a:schemeClr>
            </a:solidFill>
            <a:ln w="9525" cap="flat" cmpd="sng" algn="ctr">
              <a:solidFill>
                <a:schemeClr val="lt1">
                  <a:alpha val="50000"/>
                </a:schemeClr>
              </a:solidFill>
              <a:round/>
            </a:ln>
            <a:effectLst/>
          </c:spPr>
          <c:invertIfNegative val="0"/>
          <c:dLbls>
            <c:numFmt formatCode="#,##0.0" sourceLinked="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'3.12BC'!$C$124:$C$133</c:f>
              <c:strCache>
                <c:ptCount val="10"/>
                <c:pt idx="0">
                  <c:v>Apr-2021 to Sep-2021</c:v>
                </c:pt>
                <c:pt idx="1">
                  <c:v>Oct-2021 to Mar-2022</c:v>
                </c:pt>
                <c:pt idx="2">
                  <c:v>Apr-2022 to Sep-2022</c:v>
                </c:pt>
                <c:pt idx="3">
                  <c:v>Oct-2022 to Mar-2023</c:v>
                </c:pt>
                <c:pt idx="4">
                  <c:v>Apr-2023 to Sep-2023</c:v>
                </c:pt>
                <c:pt idx="5">
                  <c:v>Oct-2023 to Mar-2024</c:v>
                </c:pt>
                <c:pt idx="6">
                  <c:v>Apr-2024 to Sep-2024</c:v>
                </c:pt>
                <c:pt idx="7">
                  <c:v>Oct--2024 to Mar-2025</c:v>
                </c:pt>
                <c:pt idx="8">
                  <c:v>Apr-2025 to Sep-2025</c:v>
                </c:pt>
                <c:pt idx="9">
                  <c:v>Oct-2025 to Mar-2026(P)</c:v>
                </c:pt>
              </c:strCache>
            </c:strRef>
          </c:cat>
          <c:val>
            <c:numRef>
              <c:f>'3.12BC'!$F$124:$F$133</c:f>
              <c:numCache>
                <c:formatCode>0.0</c:formatCode>
                <c:ptCount val="10"/>
                <c:pt idx="0">
                  <c:v>1.60930473212926</c:v>
                </c:pt>
                <c:pt idx="1">
                  <c:v>1.9602910193516585</c:v>
                </c:pt>
                <c:pt idx="2">
                  <c:v>1.9568410973250145</c:v>
                </c:pt>
                <c:pt idx="3">
                  <c:v>2.0744348185856851</c:v>
                </c:pt>
                <c:pt idx="4">
                  <c:v>1.8838567545859406</c:v>
                </c:pt>
                <c:pt idx="5">
                  <c:v>2.1343655918535163</c:v>
                </c:pt>
                <c:pt idx="6">
                  <c:v>1.9378041013825569</c:v>
                </c:pt>
                <c:pt idx="7">
                  <c:v>2.0879651806063135</c:v>
                </c:pt>
                <c:pt idx="8">
                  <c:v>1.8201165471508229</c:v>
                </c:pt>
                <c:pt idx="9">
                  <c:v>2.1416557970915795</c:v>
                </c:pt>
              </c:numCache>
            </c:numRef>
          </c:val>
          <c:extLst>
            <c:ext xmlns:c16="http://schemas.microsoft.com/office/drawing/2014/chart" uri="{C3380CC4-5D6E-409C-BE32-E72D297353CC}">
              <c16:uniqueId val="{00000002-4382-4ECB-B8B1-0828CD15CCD3}"/>
            </c:ext>
          </c:extLst>
        </c:ser>
        <c:ser>
          <c:idx val="3"/>
          <c:order val="3"/>
          <c:tx>
            <c:strRef>
              <c:f>'3.12BC'!$G$123</c:f>
              <c:strCache>
                <c:ptCount val="1"/>
                <c:pt idx="0">
                  <c:v>Industrial (PNG)</c:v>
                </c:pt>
              </c:strCache>
            </c:strRef>
          </c:tx>
          <c:spPr>
            <a:solidFill>
              <a:schemeClr val="accent4">
                <a:alpha val="85000"/>
              </a:schemeClr>
            </a:solidFill>
            <a:ln w="9525" cap="flat" cmpd="sng" algn="ctr">
              <a:solidFill>
                <a:schemeClr val="lt1">
                  <a:alpha val="50000"/>
                </a:schemeClr>
              </a:solidFill>
              <a:round/>
            </a:ln>
            <a:effectLst/>
          </c:spPr>
          <c:invertIfNegative val="0"/>
          <c:dLbls>
            <c:numFmt formatCode="#,##0.0" sourceLinked="0"/>
            <c:spPr>
              <a:noFill/>
              <a:ln>
                <a:noFill/>
              </a:ln>
              <a:effectLst/>
            </c:spPr>
            <c:txPr>
              <a:bodyPr rot="0" spcFirstLastPara="1" vertOverflow="ellipsis" vert="horz" wrap="square" anchor="ctr" anchorCtr="1"/>
              <a:lstStyle/>
              <a:p>
                <a:pPr>
                  <a:defRPr sz="900" b="1" i="0" u="none" strike="noStrike" kern="1200" baseline="0">
                    <a:solidFill>
                      <a:schemeClr val="bg1"/>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'3.12BC'!$C$124:$C$133</c:f>
              <c:strCache>
                <c:ptCount val="10"/>
                <c:pt idx="0">
                  <c:v>Apr-2021 to Sep-2021</c:v>
                </c:pt>
                <c:pt idx="1">
                  <c:v>Oct-2021 to Mar-2022</c:v>
                </c:pt>
                <c:pt idx="2">
                  <c:v>Apr-2022 to Sep-2022</c:v>
                </c:pt>
                <c:pt idx="3">
                  <c:v>Oct-2022 to Mar-2023</c:v>
                </c:pt>
                <c:pt idx="4">
                  <c:v>Apr-2023 to Sep-2023</c:v>
                </c:pt>
                <c:pt idx="5">
                  <c:v>Oct-2023 to Mar-2024</c:v>
                </c:pt>
                <c:pt idx="6">
                  <c:v>Apr-2024 to Sep-2024</c:v>
                </c:pt>
                <c:pt idx="7">
                  <c:v>Oct--2024 to Mar-2025</c:v>
                </c:pt>
                <c:pt idx="8">
                  <c:v>Apr-2025 to Sep-2025</c:v>
                </c:pt>
                <c:pt idx="9">
                  <c:v>Oct-2025 to Mar-2026(P)</c:v>
                </c:pt>
              </c:strCache>
            </c:strRef>
          </c:cat>
          <c:val>
            <c:numRef>
              <c:f>'3.12BC'!$G$124:$G$133</c:f>
              <c:numCache>
                <c:formatCode>0.0</c:formatCode>
                <c:ptCount val="10"/>
                <c:pt idx="0">
                  <c:v>46.747935403394465</c:v>
                </c:pt>
                <c:pt idx="1">
                  <c:v>40.082815607264685</c:v>
                </c:pt>
                <c:pt idx="2">
                  <c:v>35.320586571307267</c:v>
                </c:pt>
                <c:pt idx="3">
                  <c:v>30.853431139438044</c:v>
                </c:pt>
                <c:pt idx="4">
                  <c:v>32.172696711574694</c:v>
                </c:pt>
                <c:pt idx="5">
                  <c:v>31.426387736116883</c:v>
                </c:pt>
                <c:pt idx="6">
                  <c:v>31.573249489528653</c:v>
                </c:pt>
                <c:pt idx="7">
                  <c:v>29.107933873729003</c:v>
                </c:pt>
                <c:pt idx="8">
                  <c:v>28.061053903656152</c:v>
                </c:pt>
                <c:pt idx="9">
                  <c:v>26.629949616430064</c:v>
                </c:pt>
              </c:numCache>
            </c:numRef>
          </c:val>
          <c:extLst>
            <c:ext xmlns:c16="http://schemas.microsoft.com/office/drawing/2014/chart" uri="{C3380CC4-5D6E-409C-BE32-E72D297353CC}">
              <c16:uniqueId val="{00000003-4382-4ECB-B8B1-0828CD15CCD3}"/>
            </c:ext>
          </c:extLst>
        </c:ser>
        <c:dLbls>
          <c:dLblPos val="ctr"/>
          <c:showLegendKey val="0"/>
          <c:showVal val="1"/>
          <c:showCatName val="0"/>
          <c:showSerName val="0"/>
          <c:showPercent val="0"/>
          <c:showBubbleSize val="0"/>
        </c:dLbls>
        <c:gapWidth val="65"/>
        <c:overlap val="100"/>
        <c:axId val="1909021776"/>
        <c:axId val="1909026768"/>
      </c:barChart>
      <c:catAx>
        <c:axId val="1909021776"/>
        <c:scaling>
          <c:orientation val="minMax"/>
        </c:scaling>
        <c:delete val="0"/>
        <c:axPos val="b"/>
        <c:numFmt formatCode="General" sourceLinked="1"/>
        <c:majorTickMark val="none"/>
        <c:minorTickMark val="none"/>
        <c:tickLblPos val="nextTo"/>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500" b="1" i="0" u="none" strike="noStrike" kern="1200" cap="all" baseline="0">
                <a:solidFill>
                  <a:schemeClr val="tx1"/>
                </a:solidFill>
                <a:latin typeface="Book Antiqua" panose="02040602050305030304" pitchFamily="18" charset="0"/>
                <a:ea typeface="+mn-ea"/>
                <a:cs typeface="+mn-cs"/>
              </a:defRPr>
            </a:pPr>
            <a:endParaRPr lang="en-US"/>
          </a:p>
        </c:txPr>
        <c:crossAx val="1909026768"/>
        <c:crosses val="autoZero"/>
        <c:auto val="1"/>
        <c:lblAlgn val="ctr"/>
        <c:lblOffset val="100"/>
        <c:noMultiLvlLbl val="0"/>
      </c:catAx>
      <c:valAx>
        <c:axId val="1909026768"/>
        <c:scaling>
          <c:orientation val="minMax"/>
        </c:scaling>
        <c:delete val="1"/>
        <c:axPos val="l"/>
        <c:numFmt formatCode="0%" sourceLinked="1"/>
        <c:majorTickMark val="none"/>
        <c:minorTickMark val="none"/>
        <c:tickLblPos val="nextTo"/>
        <c:crossAx val="1909021776"/>
        <c:crosses val="autoZero"/>
        <c:crossBetween val="between"/>
      </c:valAx>
      <c:spPr>
        <a:noFill/>
        <a:ln>
          <a:noFill/>
        </a:ln>
        <a:effectLst/>
      </c:spPr>
    </c:plotArea>
    <c:legend>
      <c:legendPos val="b"/>
      <c:layout>
        <c:manualLayout>
          <c:xMode val="edge"/>
          <c:yMode val="edge"/>
          <c:x val="5.0000037635327226E-2"/>
          <c:y val="0.91953582146651058"/>
          <c:w val="0.89999992472934554"/>
          <c:h val="6.5059808980965778E-2"/>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900" b="1" i="0" u="none" strike="noStrike" kern="1200" baseline="0">
              <a:solidFill>
                <a:schemeClr val="tx1"/>
              </a:solidFill>
              <a:latin typeface="Book Antiqua" panose="02040602050305030304" pitchFamily="18"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F5E0B5"/>
    </a:solidFill>
    <a:ln w="15875" cap="flat" cmpd="sng" algn="ctr">
      <a:solidFill>
        <a:schemeClr val="tx1"/>
      </a:solidFill>
      <a:round/>
    </a:ln>
    <a:effectLst/>
  </c:spPr>
  <c:txPr>
    <a:bodyPr/>
    <a:lstStyle/>
    <a:p>
      <a:pPr>
        <a:defRPr b="1">
          <a:solidFill>
            <a:schemeClr val="tx1"/>
          </a:solidFill>
          <a:latin typeface="Book Antiqua" panose="02040602050305030304" pitchFamily="18" charset="0"/>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200" b="1" i="0" u="none" strike="noStrike" kern="1200" baseline="0">
                <a:solidFill>
                  <a:schemeClr val="tx1"/>
                </a:solidFill>
                <a:latin typeface="Book Antiqua" panose="02040602050305030304" pitchFamily="18" charset="0"/>
                <a:ea typeface="+mn-ea"/>
                <a:cs typeface="+mn-cs"/>
              </a:defRPr>
            </a:pPr>
            <a:r>
              <a:rPr lang="en-IN" sz="1200">
                <a:solidFill>
                  <a:schemeClr val="tx1"/>
                </a:solidFill>
              </a:rPr>
              <a:t>Segment wise trend </a:t>
            </a:r>
            <a:r>
              <a:rPr lang="en-US" sz="1200" b="1" i="0" u="none" strike="noStrike" kern="1200" baseline="0">
                <a:solidFill>
                  <a:schemeClr val="tx1"/>
                </a:solidFill>
                <a:latin typeface="Book Antiqua" panose="02040602050305030304" pitchFamily="18" charset="0"/>
              </a:rPr>
              <a:t>Percentage </a:t>
            </a:r>
            <a:r>
              <a:rPr lang="en-IN" sz="1200">
                <a:solidFill>
                  <a:schemeClr val="tx1"/>
                </a:solidFill>
              </a:rPr>
              <a:t>(%)</a:t>
            </a:r>
          </a:p>
        </c:rich>
      </c:tx>
      <c:overlay val="0"/>
      <c:spPr>
        <a:noFill/>
        <a:ln>
          <a:noFill/>
        </a:ln>
        <a:effectLst/>
      </c:spPr>
      <c:txPr>
        <a:bodyPr rot="0" spcFirstLastPara="1" vertOverflow="ellipsis" vert="horz" wrap="square" anchor="ctr" anchorCtr="1"/>
        <a:lstStyle/>
        <a:p>
          <a:pPr>
            <a:defRPr sz="1200" b="1" i="0" u="none" strike="noStrike" kern="1200" baseline="0">
              <a:solidFill>
                <a:schemeClr val="tx1"/>
              </a:solidFill>
              <a:latin typeface="Book Antiqua" panose="02040602050305030304" pitchFamily="18" charset="0"/>
              <a:ea typeface="+mn-ea"/>
              <a:cs typeface="+mn-cs"/>
            </a:defRPr>
          </a:pPr>
          <a:endParaRPr lang="en-US"/>
        </a:p>
      </c:txPr>
    </c:title>
    <c:autoTitleDeleted val="0"/>
    <c:plotArea>
      <c:layout>
        <c:manualLayout>
          <c:layoutTarget val="inner"/>
          <c:xMode val="edge"/>
          <c:yMode val="edge"/>
          <c:x val="2.4952742506452078E-2"/>
          <c:y val="0.24325933309458339"/>
          <c:w val="0.95009451498709585"/>
          <c:h val="0.63755190424283759"/>
        </c:manualLayout>
      </c:layout>
      <c:barChart>
        <c:barDir val="col"/>
        <c:grouping val="clustered"/>
        <c:varyColors val="0"/>
        <c:ser>
          <c:idx val="0"/>
          <c:order val="0"/>
          <c:tx>
            <c:strRef>
              <c:f>'3.12BC'!$C$197</c:f>
              <c:strCache>
                <c:ptCount val="1"/>
                <c:pt idx="0">
                  <c:v>Apr-2022 to Sep-2022</c:v>
                </c:pt>
              </c:strCache>
            </c:strRef>
          </c:tx>
          <c:spPr>
            <a:solidFill>
              <a:schemeClr val="accent1">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anchor="ctr" anchorCtr="1"/>
              <a:lstStyle/>
              <a:p>
                <a:pPr>
                  <a:defRPr sz="1000" b="1" i="0" u="none" strike="noStrike" kern="1200" baseline="0">
                    <a:solidFill>
                      <a:schemeClr val="bg1"/>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'3.12BC'!$D$196:$G$196</c:f>
              <c:strCache>
                <c:ptCount val="4"/>
                <c:pt idx="0">
                  <c:v>CNG </c:v>
                </c:pt>
                <c:pt idx="1">
                  <c:v>Domestic (PNG)</c:v>
                </c:pt>
                <c:pt idx="2">
                  <c:v>Commercial (PNG)</c:v>
                </c:pt>
                <c:pt idx="3">
                  <c:v>Industrial (PNG)</c:v>
                </c:pt>
              </c:strCache>
            </c:strRef>
          </c:cat>
          <c:val>
            <c:numRef>
              <c:f>'3.12BC'!$D$197:$G$197</c:f>
              <c:numCache>
                <c:formatCode>0</c:formatCode>
                <c:ptCount val="4"/>
                <c:pt idx="0">
                  <c:v>9.7679285087657775</c:v>
                </c:pt>
                <c:pt idx="1">
                  <c:v>-8.2360849340965547</c:v>
                </c:pt>
                <c:pt idx="2">
                  <c:v>-1.0707425190708664</c:v>
                </c:pt>
                <c:pt idx="3">
                  <c:v>-12.670811312134722</c:v>
                </c:pt>
              </c:numCache>
            </c:numRef>
          </c:val>
          <c:extLst>
            <c:ext xmlns:c16="http://schemas.microsoft.com/office/drawing/2014/chart" uri="{C3380CC4-5D6E-409C-BE32-E72D297353CC}">
              <c16:uniqueId val="{00000000-22E0-4306-9C89-69EEBD9DEEE1}"/>
            </c:ext>
          </c:extLst>
        </c:ser>
        <c:ser>
          <c:idx val="1"/>
          <c:order val="1"/>
          <c:tx>
            <c:strRef>
              <c:f>'3.12BC'!$C$198</c:f>
              <c:strCache>
                <c:ptCount val="1"/>
                <c:pt idx="0">
                  <c:v>Oct-2022 to Mar-2023</c:v>
                </c:pt>
              </c:strCache>
            </c:strRef>
          </c:tx>
          <c:spPr>
            <a:solidFill>
              <a:schemeClr val="accent2">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'3.12BC'!$D$196:$G$196</c:f>
              <c:strCache>
                <c:ptCount val="4"/>
                <c:pt idx="0">
                  <c:v>CNG </c:v>
                </c:pt>
                <c:pt idx="1">
                  <c:v>Domestic (PNG)</c:v>
                </c:pt>
                <c:pt idx="2">
                  <c:v>Commercial (PNG)</c:v>
                </c:pt>
                <c:pt idx="3">
                  <c:v>Industrial (PNG)</c:v>
                </c:pt>
              </c:strCache>
            </c:strRef>
          </c:cat>
          <c:val>
            <c:numRef>
              <c:f>'3.12BC'!$D$198:$G$198</c:f>
              <c:numCache>
                <c:formatCode>0</c:formatCode>
                <c:ptCount val="4"/>
                <c:pt idx="0">
                  <c:v>2.5586040426782919</c:v>
                </c:pt>
                <c:pt idx="1">
                  <c:v>13.143663928271398</c:v>
                </c:pt>
                <c:pt idx="2">
                  <c:v>2.9254646683275043</c:v>
                </c:pt>
                <c:pt idx="3">
                  <c:v>-15.18861323869235</c:v>
                </c:pt>
              </c:numCache>
            </c:numRef>
          </c:val>
          <c:extLst>
            <c:ext xmlns:c16="http://schemas.microsoft.com/office/drawing/2014/chart" uri="{C3380CC4-5D6E-409C-BE32-E72D297353CC}">
              <c16:uniqueId val="{00000001-22E0-4306-9C89-69EEBD9DEEE1}"/>
            </c:ext>
          </c:extLst>
        </c:ser>
        <c:ser>
          <c:idx val="2"/>
          <c:order val="2"/>
          <c:tx>
            <c:strRef>
              <c:f>'3.12BC'!$C$199</c:f>
              <c:strCache>
                <c:ptCount val="1"/>
                <c:pt idx="0">
                  <c:v>Apr-2023 to Sep-2023</c:v>
                </c:pt>
              </c:strCache>
            </c:strRef>
          </c:tx>
          <c:spPr>
            <a:solidFill>
              <a:schemeClr val="accent3">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'3.12BC'!$D$196:$G$196</c:f>
              <c:strCache>
                <c:ptCount val="4"/>
                <c:pt idx="0">
                  <c:v>CNG </c:v>
                </c:pt>
                <c:pt idx="1">
                  <c:v>Domestic (PNG)</c:v>
                </c:pt>
                <c:pt idx="2">
                  <c:v>Commercial (PNG)</c:v>
                </c:pt>
                <c:pt idx="3">
                  <c:v>Industrial (PNG)</c:v>
                </c:pt>
              </c:strCache>
            </c:strRef>
          </c:cat>
          <c:val>
            <c:numRef>
              <c:f>'3.12BC'!$D$199:$G$199</c:f>
              <c:numCache>
                <c:formatCode>0</c:formatCode>
                <c:ptCount val="4"/>
                <c:pt idx="0">
                  <c:v>6.3346187022395473</c:v>
                </c:pt>
                <c:pt idx="1">
                  <c:v>-8.8156256200118914</c:v>
                </c:pt>
                <c:pt idx="2">
                  <c:v>-3.6042813223383874</c:v>
                </c:pt>
                <c:pt idx="3">
                  <c:v>10.686246223013661</c:v>
                </c:pt>
              </c:numCache>
            </c:numRef>
          </c:val>
          <c:extLst>
            <c:ext xmlns:c16="http://schemas.microsoft.com/office/drawing/2014/chart" uri="{C3380CC4-5D6E-409C-BE32-E72D297353CC}">
              <c16:uniqueId val="{00000002-22E0-4306-9C89-69EEBD9DEEE1}"/>
            </c:ext>
          </c:extLst>
        </c:ser>
        <c:ser>
          <c:idx val="3"/>
          <c:order val="3"/>
          <c:tx>
            <c:strRef>
              <c:f>'3.12BC'!$C$200</c:f>
              <c:strCache>
                <c:ptCount val="1"/>
                <c:pt idx="0">
                  <c:v>Oct-2023 to Mar-2024</c:v>
                </c:pt>
              </c:strCache>
            </c:strRef>
          </c:tx>
          <c:spPr>
            <a:solidFill>
              <a:schemeClr val="accent4">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anchor="ctr" anchorCtr="1"/>
              <a:lstStyle/>
              <a:p>
                <a:pPr>
                  <a:defRPr sz="10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'3.12BC'!$D$196:$G$196</c:f>
              <c:strCache>
                <c:ptCount val="4"/>
                <c:pt idx="0">
                  <c:v>CNG </c:v>
                </c:pt>
                <c:pt idx="1">
                  <c:v>Domestic (PNG)</c:v>
                </c:pt>
                <c:pt idx="2">
                  <c:v>Commercial (PNG)</c:v>
                </c:pt>
                <c:pt idx="3">
                  <c:v>Industrial (PNG)</c:v>
                </c:pt>
              </c:strCache>
            </c:strRef>
          </c:cat>
          <c:val>
            <c:numRef>
              <c:f>'3.12BC'!$D$200:$G$200</c:f>
              <c:numCache>
                <c:formatCode>0</c:formatCode>
                <c:ptCount val="4"/>
                <c:pt idx="0">
                  <c:v>8.6242685229042984</c:v>
                </c:pt>
                <c:pt idx="1">
                  <c:v>20.031690471960072</c:v>
                </c:pt>
                <c:pt idx="2">
                  <c:v>23.610280876079681</c:v>
                </c:pt>
                <c:pt idx="3">
                  <c:v>6.5713969149878482</c:v>
                </c:pt>
              </c:numCache>
            </c:numRef>
          </c:val>
          <c:extLst>
            <c:ext xmlns:c16="http://schemas.microsoft.com/office/drawing/2014/chart" uri="{C3380CC4-5D6E-409C-BE32-E72D297353CC}">
              <c16:uniqueId val="{00000003-22E0-4306-9C89-69EEBD9DEEE1}"/>
            </c:ext>
          </c:extLst>
        </c:ser>
        <c:ser>
          <c:idx val="4"/>
          <c:order val="4"/>
          <c:tx>
            <c:strRef>
              <c:f>'3.12BC'!$C$201</c:f>
              <c:strCache>
                <c:ptCount val="1"/>
                <c:pt idx="0">
                  <c:v>Apr-2024 to Sep-2024</c:v>
                </c:pt>
              </c:strCache>
            </c:strRef>
          </c:tx>
          <c:spPr>
            <a:solidFill>
              <a:schemeClr val="accent5">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'3.12BC'!$D$196:$G$196</c:f>
              <c:strCache>
                <c:ptCount val="4"/>
                <c:pt idx="0">
                  <c:v>CNG </c:v>
                </c:pt>
                <c:pt idx="1">
                  <c:v>Domestic (PNG)</c:v>
                </c:pt>
                <c:pt idx="2">
                  <c:v>Commercial (PNG)</c:v>
                </c:pt>
                <c:pt idx="3">
                  <c:v>Industrial (PNG)</c:v>
                </c:pt>
              </c:strCache>
            </c:strRef>
          </c:cat>
          <c:val>
            <c:numRef>
              <c:f>'3.12BC'!$D$201:$G$201</c:f>
              <c:numCache>
                <c:formatCode>0</c:formatCode>
                <c:ptCount val="4"/>
                <c:pt idx="0">
                  <c:v>9.401044122062352</c:v>
                </c:pt>
                <c:pt idx="1">
                  <c:v>-1.5590946440385833</c:v>
                </c:pt>
                <c:pt idx="2">
                  <c:v>-1.9840502338790644</c:v>
                </c:pt>
                <c:pt idx="3">
                  <c:v>8.462724579626645</c:v>
                </c:pt>
              </c:numCache>
            </c:numRef>
          </c:val>
          <c:extLst>
            <c:ext xmlns:c16="http://schemas.microsoft.com/office/drawing/2014/chart" uri="{C3380CC4-5D6E-409C-BE32-E72D297353CC}">
              <c16:uniqueId val="{00000004-22E0-4306-9C89-69EEBD9DEEE1}"/>
            </c:ext>
          </c:extLst>
        </c:ser>
        <c:ser>
          <c:idx val="5"/>
          <c:order val="5"/>
          <c:tx>
            <c:strRef>
              <c:f>'3.12BC'!$C$202</c:f>
              <c:strCache>
                <c:ptCount val="1"/>
                <c:pt idx="0">
                  <c:v>Oct--2024 to Mar-2025</c:v>
                </c:pt>
              </c:strCache>
            </c:strRef>
          </c:tx>
          <c:spPr>
            <a:solidFill>
              <a:schemeClr val="accent6">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baseline="0">
                    <a:solidFill>
                      <a:sysClr val="windowText" lastClr="000000"/>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'3.12BC'!$D$196:$G$196</c:f>
              <c:strCache>
                <c:ptCount val="4"/>
                <c:pt idx="0">
                  <c:v>CNG </c:v>
                </c:pt>
                <c:pt idx="1">
                  <c:v>Domestic (PNG)</c:v>
                </c:pt>
                <c:pt idx="2">
                  <c:v>Commercial (PNG)</c:v>
                </c:pt>
                <c:pt idx="3">
                  <c:v>Industrial (PNG)</c:v>
                </c:pt>
              </c:strCache>
            </c:strRef>
          </c:cat>
          <c:val>
            <c:numRef>
              <c:f>'3.12BC'!$D$202:$G$202</c:f>
              <c:numCache>
                <c:formatCode>0</c:formatCode>
                <c:ptCount val="4"/>
                <c:pt idx="0">
                  <c:v>8.0205307659024108</c:v>
                </c:pt>
                <c:pt idx="1">
                  <c:v>13.944439900852657</c:v>
                </c:pt>
                <c:pt idx="2">
                  <c:v>13.173145167497836</c:v>
                </c:pt>
                <c:pt idx="3">
                  <c:v>-3.167286413380388</c:v>
                </c:pt>
              </c:numCache>
            </c:numRef>
          </c:val>
          <c:extLst>
            <c:ext xmlns:c16="http://schemas.microsoft.com/office/drawing/2014/chart" uri="{C3380CC4-5D6E-409C-BE32-E72D297353CC}">
              <c16:uniqueId val="{00000005-22E0-4306-9C89-69EEBD9DEEE1}"/>
            </c:ext>
          </c:extLst>
        </c:ser>
        <c:ser>
          <c:idx val="6"/>
          <c:order val="6"/>
          <c:tx>
            <c:strRef>
              <c:f>'3.12BC'!$C$203</c:f>
              <c:strCache>
                <c:ptCount val="1"/>
                <c:pt idx="0">
                  <c:v>Apr-2025 to Sep-2025</c:v>
                </c:pt>
              </c:strCache>
            </c:strRef>
          </c:tx>
          <c:spPr>
            <a:solidFill>
              <a:schemeClr val="accent1">
                <a:lumMod val="60000"/>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'3.12BC'!$D$196:$G$196</c:f>
              <c:strCache>
                <c:ptCount val="4"/>
                <c:pt idx="0">
                  <c:v>CNG </c:v>
                </c:pt>
                <c:pt idx="1">
                  <c:v>Domestic (PNG)</c:v>
                </c:pt>
                <c:pt idx="2">
                  <c:v>Commercial (PNG)</c:v>
                </c:pt>
                <c:pt idx="3">
                  <c:v>Industrial (PNG)</c:v>
                </c:pt>
              </c:strCache>
            </c:strRef>
          </c:cat>
          <c:val>
            <c:numRef>
              <c:f>'3.12BC'!$D$203:$G$203</c:f>
              <c:numCache>
                <c:formatCode>0</c:formatCode>
                <c:ptCount val="4"/>
                <c:pt idx="0">
                  <c:v>7.274578452174052</c:v>
                </c:pt>
                <c:pt idx="1">
                  <c:v>-3.034096403296449</c:v>
                </c:pt>
                <c:pt idx="2">
                  <c:v>-9.2869401867418322</c:v>
                </c:pt>
                <c:pt idx="3">
                  <c:v>0.31975633900678258</c:v>
                </c:pt>
              </c:numCache>
            </c:numRef>
          </c:val>
          <c:extLst>
            <c:ext xmlns:c16="http://schemas.microsoft.com/office/drawing/2014/chart" uri="{C3380CC4-5D6E-409C-BE32-E72D297353CC}">
              <c16:uniqueId val="{00000006-22E0-4306-9C89-69EEBD9DEEE1}"/>
            </c:ext>
          </c:extLst>
        </c:ser>
        <c:ser>
          <c:idx val="7"/>
          <c:order val="7"/>
          <c:tx>
            <c:strRef>
              <c:f>'3.12BC'!$C$204</c:f>
              <c:strCache>
                <c:ptCount val="1"/>
                <c:pt idx="0">
                  <c:v>Oct-2025 to Mar-2026(P)</c:v>
                </c:pt>
              </c:strCache>
            </c:strRef>
          </c:tx>
          <c:spPr>
            <a:solidFill>
              <a:schemeClr val="accent2">
                <a:lumMod val="60000"/>
                <a:alpha val="85000"/>
              </a:schemeClr>
            </a:solidFill>
            <a:ln w="9525" cap="flat" cmpd="sng" algn="ctr">
              <a:solidFill>
                <a:schemeClr val="lt1">
                  <a:alpha val="50000"/>
                </a:schemeClr>
              </a:solidFill>
              <a:round/>
            </a:ln>
            <a:effectLst/>
          </c:spPr>
          <c:invertIfNegative val="0"/>
          <c:dLbls>
            <c:numFmt formatCode="#,##0" sourceLinked="0"/>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lt1"/>
                    </a:solidFill>
                    <a:latin typeface="Book Antiqua" panose="02040602050305030304" pitchFamily="18" charset="0"/>
                    <a:ea typeface="+mn-ea"/>
                    <a:cs typeface="+mn-cs"/>
                  </a:defRPr>
                </a:pPr>
                <a:endParaRPr lang="en-US"/>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dk1">
                          <a:lumMod val="50000"/>
                          <a:lumOff val="50000"/>
                        </a:schemeClr>
                      </a:solidFill>
                    </a:ln>
                    <a:effectLst/>
                  </c:spPr>
                </c15:leaderLines>
              </c:ext>
            </c:extLst>
          </c:dLbls>
          <c:cat>
            <c:strRef>
              <c:f>'3.12BC'!$D$196:$G$196</c:f>
              <c:strCache>
                <c:ptCount val="4"/>
                <c:pt idx="0">
                  <c:v>CNG </c:v>
                </c:pt>
                <c:pt idx="1">
                  <c:v>Domestic (PNG)</c:v>
                </c:pt>
                <c:pt idx="2">
                  <c:v>Commercial (PNG)</c:v>
                </c:pt>
                <c:pt idx="3">
                  <c:v>Industrial (PNG)</c:v>
                </c:pt>
              </c:strCache>
            </c:strRef>
          </c:cat>
          <c:val>
            <c:numRef>
              <c:f>'3.12BC'!$D$204:$G$204</c:f>
              <c:numCache>
                <c:formatCode>0</c:formatCode>
                <c:ptCount val="4"/>
                <c:pt idx="0">
                  <c:v>7.1746734815032909</c:v>
                </c:pt>
                <c:pt idx="1">
                  <c:v>9.0645469668328982</c:v>
                </c:pt>
                <c:pt idx="2">
                  <c:v>24.381146288024169</c:v>
                </c:pt>
                <c:pt idx="3">
                  <c:v>0.31605537710814868</c:v>
                </c:pt>
              </c:numCache>
            </c:numRef>
          </c:val>
          <c:extLst>
            <c:ext xmlns:c16="http://schemas.microsoft.com/office/drawing/2014/chart" uri="{C3380CC4-5D6E-409C-BE32-E72D297353CC}">
              <c16:uniqueId val="{00000007-22E0-4306-9C89-69EEBD9DEEE1}"/>
            </c:ext>
          </c:extLst>
        </c:ser>
        <c:dLbls>
          <c:dLblPos val="ctr"/>
          <c:showLegendKey val="0"/>
          <c:showVal val="1"/>
          <c:showCatName val="0"/>
          <c:showSerName val="0"/>
          <c:showPercent val="0"/>
          <c:showBubbleSize val="0"/>
        </c:dLbls>
        <c:gapWidth val="0"/>
        <c:axId val="632664783"/>
        <c:axId val="632671503"/>
      </c:barChart>
      <c:catAx>
        <c:axId val="632664783"/>
        <c:scaling>
          <c:orientation val="minMax"/>
        </c:scaling>
        <c:delete val="0"/>
        <c:axPos val="b"/>
        <c:numFmt formatCode="General" sourceLinked="1"/>
        <c:majorTickMark val="none"/>
        <c:minorTickMark val="none"/>
        <c:tickLblPos val="high"/>
        <c:spPr>
          <a:noFill/>
          <a:ln w="19050" cap="flat" cmpd="sng" algn="ctr">
            <a:solidFill>
              <a:schemeClr val="dk1">
                <a:lumMod val="75000"/>
                <a:lumOff val="25000"/>
              </a:schemeClr>
            </a:solidFill>
            <a:round/>
          </a:ln>
          <a:effectLst/>
        </c:spPr>
        <c:txPr>
          <a:bodyPr rot="-60000000" spcFirstLastPara="1" vertOverflow="ellipsis" vert="horz" wrap="square" anchor="ctr" anchorCtr="1"/>
          <a:lstStyle/>
          <a:p>
            <a:pPr>
              <a:defRPr sz="1050" b="0" i="0" u="none" strike="noStrike" kern="1200" cap="all" baseline="0">
                <a:solidFill>
                  <a:schemeClr val="dk1">
                    <a:lumMod val="75000"/>
                    <a:lumOff val="25000"/>
                  </a:schemeClr>
                </a:solidFill>
                <a:latin typeface="Book Antiqua" panose="02040602050305030304" pitchFamily="18" charset="0"/>
                <a:ea typeface="+mn-ea"/>
                <a:cs typeface="+mn-cs"/>
              </a:defRPr>
            </a:pPr>
            <a:endParaRPr lang="en-US"/>
          </a:p>
        </c:txPr>
        <c:crossAx val="632671503"/>
        <c:crosses val="autoZero"/>
        <c:auto val="1"/>
        <c:lblAlgn val="ctr"/>
        <c:lblOffset val="500"/>
        <c:noMultiLvlLbl val="0"/>
      </c:catAx>
      <c:valAx>
        <c:axId val="632671503"/>
        <c:scaling>
          <c:orientation val="minMax"/>
        </c:scaling>
        <c:delete val="1"/>
        <c:axPos val="l"/>
        <c:numFmt formatCode="0" sourceLinked="1"/>
        <c:majorTickMark val="none"/>
        <c:minorTickMark val="none"/>
        <c:tickLblPos val="nextTo"/>
        <c:crossAx val="632664783"/>
        <c:crosses val="autoZero"/>
        <c:crossBetween val="between"/>
      </c:valAx>
      <c:spPr>
        <a:noFill/>
        <a:ln>
          <a:noFill/>
        </a:ln>
        <a:effectLst/>
      </c:spPr>
    </c:plotArea>
    <c:legend>
      <c:legendPos val="b"/>
      <c:layout>
        <c:manualLayout>
          <c:xMode val="edge"/>
          <c:yMode val="edge"/>
          <c:x val="1.7287767279684882E-2"/>
          <c:y val="0.83266832173718475"/>
          <c:w val="0.97449818998843096"/>
          <c:h val="0.14867867835870993"/>
        </c:manualLayout>
      </c:layout>
      <c:overlay val="0"/>
      <c:spPr>
        <a:solidFill>
          <a:schemeClr val="lt1">
            <a:lumMod val="95000"/>
            <a:alpha val="39000"/>
          </a:schemeClr>
        </a:solidFill>
        <a:ln>
          <a:noFill/>
        </a:ln>
        <a:effectLst/>
      </c:spPr>
      <c:txPr>
        <a:bodyPr rot="0" spcFirstLastPara="1" vertOverflow="ellipsis" vert="horz" wrap="square" anchor="ctr" anchorCtr="1"/>
        <a:lstStyle/>
        <a:p>
          <a:pPr>
            <a:defRPr sz="1050" b="0" i="0" u="none" strike="noStrike" kern="1200" baseline="0">
              <a:solidFill>
                <a:schemeClr val="tx1"/>
              </a:solidFill>
              <a:latin typeface="Book Antiqua" panose="02040602050305030304" pitchFamily="18"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F5E0B5"/>
    </a:solidFill>
    <a:ln w="15875" cap="flat" cmpd="sng" algn="ctr">
      <a:solidFill>
        <a:schemeClr val="tx1"/>
      </a:solidFill>
      <a:round/>
    </a:ln>
    <a:effectLst/>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400" b="1" i="0" u="none" strike="noStrike" kern="1200" cap="all" baseline="0">
                <a:solidFill>
                  <a:schemeClr val="tx1"/>
                </a:solidFill>
                <a:latin typeface="Book Antiqua" panose="02040602050305030304" pitchFamily="18" charset="0"/>
              </a:rPr>
              <a:t>CGD sale profiles fy 2025-26</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3-6D7F-41E4-B9A4-7B4F45748691}"/>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1-6D7F-41E4-B9A4-7B4F45748691}"/>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2-6D7F-41E4-B9A4-7B4F45748691}"/>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4-6D7F-41E4-B9A4-7B4F45748691}"/>
              </c:ext>
            </c:extLst>
          </c:dPt>
          <c:dLbls>
            <c:dLbl>
              <c:idx val="0"/>
              <c:layout>
                <c:manualLayout>
                  <c:x val="-0.12595539026256405"/>
                  <c:y val="-8.8146698752458175E-2"/>
                </c:manualLayout>
              </c:layout>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bg1"/>
                      </a:solidFill>
                      <a:latin typeface="+mn-lt"/>
                      <a:ea typeface="+mn-ea"/>
                      <a:cs typeface="+mn-cs"/>
                    </a:defRPr>
                  </a:pPr>
                  <a:endParaRPr lang="en-US"/>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6D7F-41E4-B9A4-7B4F45748691}"/>
                </c:ext>
              </c:extLst>
            </c:dLbl>
            <c:dLbl>
              <c:idx val="1"/>
              <c:layout>
                <c:manualLayout>
                  <c:x val="1.3251968503937008E-2"/>
                  <c:y val="5.9347477398658498E-2"/>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6D7F-41E4-B9A4-7B4F45748691}"/>
                </c:ext>
              </c:extLst>
            </c:dLbl>
            <c:dLbl>
              <c:idx val="2"/>
              <c:layout>
                <c:manualLayout>
                  <c:x val="-2.2809711286089239E-2"/>
                  <c:y val="-1.8089093030037914E-2"/>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2-6D7F-41E4-B9A4-7B4F45748691}"/>
                </c:ext>
              </c:extLst>
            </c:dLbl>
            <c:dLbl>
              <c:idx val="3"/>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bg1"/>
                      </a:solidFill>
                      <a:latin typeface="+mn-lt"/>
                      <a:ea typeface="+mn-ea"/>
                      <a:cs typeface="+mn-cs"/>
                    </a:defRPr>
                  </a:pPr>
                  <a:endParaRPr lang="en-US"/>
                </a:p>
              </c:txPr>
              <c:showLegendKey val="0"/>
              <c:showVal val="0"/>
              <c:showCatName val="1"/>
              <c:showSerName val="0"/>
              <c:showPercent val="1"/>
              <c:showBubbleSize val="0"/>
              <c:extLst>
                <c:ext xmlns:c16="http://schemas.microsoft.com/office/drawing/2014/chart" uri="{C3380CC4-5D6E-409C-BE32-E72D297353CC}">
                  <c16:uniqueId val="{00000004-6D7F-41E4-B9A4-7B4F45748691}"/>
                </c:ext>
              </c:extLst>
            </c:dLbl>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'3.12BC'!$D$67:$G$67</c:f>
              <c:strCache>
                <c:ptCount val="4"/>
                <c:pt idx="0">
                  <c:v>CNG </c:v>
                </c:pt>
                <c:pt idx="1">
                  <c:v>Domestic (PNG)</c:v>
                </c:pt>
                <c:pt idx="2">
                  <c:v>Commercial (PNG)</c:v>
                </c:pt>
                <c:pt idx="3">
                  <c:v>Industrial
 (PNG)</c:v>
                </c:pt>
              </c:strCache>
            </c:strRef>
          </c:cat>
          <c:val>
            <c:numRef>
              <c:f>'3.12BC'!$D$72:$G$72</c:f>
              <c:numCache>
                <c:formatCode>0</c:formatCode>
                <c:ptCount val="4"/>
                <c:pt idx="0">
                  <c:v>10752.533842000001</c:v>
                </c:pt>
                <c:pt idx="1">
                  <c:v>1305.266302</c:v>
                </c:pt>
                <c:pt idx="2">
                  <c:v>354.82382500000006</c:v>
                </c:pt>
                <c:pt idx="3">
                  <c:v>4667.6231589999998</c:v>
                </c:pt>
              </c:numCache>
            </c:numRef>
          </c:val>
          <c:extLst>
            <c:ext xmlns:c16="http://schemas.microsoft.com/office/drawing/2014/chart" uri="{C3380CC4-5D6E-409C-BE32-E72D297353CC}">
              <c16:uniqueId val="{00000000-6D7F-41E4-B9A4-7B4F45748691}"/>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US" sz="1400" b="1" i="0" u="none" strike="noStrike" kern="1200" cap="all" baseline="0">
                <a:solidFill>
                  <a:sysClr val="windowText" lastClr="000000">
                    <a:lumMod val="65000"/>
                    <a:lumOff val="35000"/>
                  </a:sysClr>
                </a:solidFill>
                <a:latin typeface="Book Antiqua" panose="02040602050305030304" pitchFamily="18" charset="0"/>
              </a:rPr>
              <a:t>CGD sale profiles fy 2024-25</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pieChart>
        <c:varyColors val="1"/>
        <c:ser>
          <c:idx val="0"/>
          <c:order val="0"/>
          <c:dPt>
            <c:idx val="0"/>
            <c:bubble3D val="0"/>
            <c:spPr>
              <a:solidFill>
                <a:schemeClr val="accent1"/>
              </a:solidFill>
              <a:ln w="19050">
                <a:solidFill>
                  <a:schemeClr val="lt1"/>
                </a:solidFill>
              </a:ln>
              <a:effectLst/>
            </c:spPr>
            <c:extLst>
              <c:ext xmlns:c16="http://schemas.microsoft.com/office/drawing/2014/chart" uri="{C3380CC4-5D6E-409C-BE32-E72D297353CC}">
                <c16:uniqueId val="{00000001-7A61-448A-B06A-A623365A6217}"/>
              </c:ext>
            </c:extLst>
          </c:dPt>
          <c:dPt>
            <c:idx val="1"/>
            <c:bubble3D val="0"/>
            <c:spPr>
              <a:solidFill>
                <a:schemeClr val="accent2"/>
              </a:solidFill>
              <a:ln w="19050">
                <a:solidFill>
                  <a:schemeClr val="lt1"/>
                </a:solidFill>
              </a:ln>
              <a:effectLst/>
            </c:spPr>
            <c:extLst>
              <c:ext xmlns:c16="http://schemas.microsoft.com/office/drawing/2014/chart" uri="{C3380CC4-5D6E-409C-BE32-E72D297353CC}">
                <c16:uniqueId val="{00000003-7A61-448A-B06A-A623365A6217}"/>
              </c:ext>
            </c:extLst>
          </c:dPt>
          <c:dPt>
            <c:idx val="2"/>
            <c:bubble3D val="0"/>
            <c:spPr>
              <a:solidFill>
                <a:schemeClr val="accent3"/>
              </a:solidFill>
              <a:ln w="19050">
                <a:solidFill>
                  <a:schemeClr val="lt1"/>
                </a:solidFill>
              </a:ln>
              <a:effectLst/>
            </c:spPr>
            <c:extLst>
              <c:ext xmlns:c16="http://schemas.microsoft.com/office/drawing/2014/chart" uri="{C3380CC4-5D6E-409C-BE32-E72D297353CC}">
                <c16:uniqueId val="{00000005-2885-4256-8F50-CA66D71637F8}"/>
              </c:ext>
            </c:extLst>
          </c:dPt>
          <c:dPt>
            <c:idx val="3"/>
            <c:bubble3D val="0"/>
            <c:spPr>
              <a:solidFill>
                <a:schemeClr val="accent4"/>
              </a:solidFill>
              <a:ln w="19050">
                <a:solidFill>
                  <a:schemeClr val="lt1"/>
                </a:solidFill>
              </a:ln>
              <a:effectLst/>
            </c:spPr>
            <c:extLst>
              <c:ext xmlns:c16="http://schemas.microsoft.com/office/drawing/2014/chart" uri="{C3380CC4-5D6E-409C-BE32-E72D297353CC}">
                <c16:uniqueId val="{00000002-7A61-448A-B06A-A623365A6217}"/>
              </c:ext>
            </c:extLst>
          </c:dPt>
          <c:dLbls>
            <c:dLbl>
              <c:idx val="0"/>
              <c:layout>
                <c:manualLayout>
                  <c:x val="-0.17560816803985924"/>
                  <c:y val="-6.5421813432535336E-2"/>
                </c:manualLayout>
              </c:layout>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bg1"/>
                      </a:solidFill>
                      <a:latin typeface="+mn-lt"/>
                      <a:ea typeface="+mn-ea"/>
                      <a:cs typeface="+mn-cs"/>
                    </a:defRPr>
                  </a:pPr>
                  <a:endParaRPr lang="en-US"/>
                </a:p>
              </c:txPr>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7A61-448A-B06A-A623365A6217}"/>
                </c:ext>
              </c:extLst>
            </c:dLbl>
            <c:dLbl>
              <c:idx val="1"/>
              <c:layout>
                <c:manualLayout>
                  <c:x val="-1.2365622467230422E-2"/>
                  <c:y val="1.9333796878931095E-2"/>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7A61-448A-B06A-A623365A6217}"/>
                </c:ext>
              </c:extLst>
            </c:dLbl>
            <c:dLbl>
              <c:idx val="3"/>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bg1"/>
                      </a:solidFill>
                      <a:latin typeface="+mn-lt"/>
                      <a:ea typeface="+mn-ea"/>
                      <a:cs typeface="+mn-cs"/>
                    </a:defRPr>
                  </a:pPr>
                  <a:endParaRPr lang="en-US"/>
                </a:p>
              </c:txPr>
              <c:showLegendKey val="0"/>
              <c:showVal val="0"/>
              <c:showCatName val="1"/>
              <c:showSerName val="0"/>
              <c:showPercent val="1"/>
              <c:showBubbleSize val="0"/>
              <c:extLst>
                <c:ext xmlns:c16="http://schemas.microsoft.com/office/drawing/2014/chart" uri="{C3380CC4-5D6E-409C-BE32-E72D297353CC}">
                  <c16:uniqueId val="{00000002-7A61-448A-B06A-A623365A6217}"/>
                </c:ext>
              </c:extLst>
            </c:dLbl>
            <c:spPr>
              <a:noFill/>
              <a:ln>
                <a:noFill/>
              </a:ln>
              <a:effectLst/>
            </c:spPr>
            <c:txPr>
              <a:bodyPr rot="0" spcFirstLastPara="1" vertOverflow="ellipsis" vert="horz" wrap="square" lIns="38100" tIns="19050" rIns="38100" bIns="19050" anchor="ctr" anchorCtr="1">
                <a:spAutoFit/>
              </a:bodyPr>
              <a:lstStyle/>
              <a:p>
                <a:pPr>
                  <a:defRPr sz="105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'3.12BC'!$D$67:$G$67</c:f>
              <c:strCache>
                <c:ptCount val="4"/>
                <c:pt idx="0">
                  <c:v>CNG </c:v>
                </c:pt>
                <c:pt idx="1">
                  <c:v>Domestic (PNG)</c:v>
                </c:pt>
                <c:pt idx="2">
                  <c:v>Commercial (PNG)</c:v>
                </c:pt>
                <c:pt idx="3">
                  <c:v>Industrial
 (PNG)</c:v>
                </c:pt>
              </c:strCache>
            </c:strRef>
          </c:cat>
          <c:val>
            <c:numRef>
              <c:f>'3.12BC'!$D$71:$G$71</c:f>
              <c:numCache>
                <c:formatCode>0</c:formatCode>
                <c:ptCount val="4"/>
                <c:pt idx="0">
                  <c:v>9316.9242389999999</c:v>
                </c:pt>
                <c:pt idx="1">
                  <c:v>1223.5058535000003</c:v>
                </c:pt>
                <c:pt idx="2">
                  <c:v>313.77827909000007</c:v>
                </c:pt>
                <c:pt idx="3">
                  <c:v>4721.6061750000008</c:v>
                </c:pt>
              </c:numCache>
            </c:numRef>
          </c:val>
          <c:extLst>
            <c:ext xmlns:c16="http://schemas.microsoft.com/office/drawing/2014/chart" uri="{C3380CC4-5D6E-409C-BE32-E72D297353CC}">
              <c16:uniqueId val="{00000000-7A61-448A-B06A-A623365A6217}"/>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2">
        <a:lumMod val="90000"/>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explosion val="1"/>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C7D4-4FE4-9CF2-58F3B6DE7659}"/>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C7D4-4FE4-9CF2-58F3B6DE7659}"/>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C7D4-4FE4-9CF2-58F3B6DE7659}"/>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C7D4-4FE4-9CF2-58F3B6DE7659}"/>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C7D4-4FE4-9CF2-58F3B6DE7659}"/>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C7D4-4FE4-9CF2-58F3B6DE7659}"/>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C7D4-4FE4-9CF2-58F3B6DE7659}"/>
              </c:ext>
            </c:extLst>
          </c:dPt>
          <c:dPt>
            <c:idx val="7"/>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C7D4-4FE4-9CF2-58F3B6DE7659}"/>
              </c:ext>
            </c:extLst>
          </c:dPt>
          <c:dPt>
            <c:idx val="8"/>
            <c:bubble3D val="0"/>
            <c:explosion val="13"/>
            <c:spPr>
              <a:solidFill>
                <a:schemeClr val="accent3">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C7D4-4FE4-9CF2-58F3B6DE7659}"/>
              </c:ext>
            </c:extLst>
          </c:dPt>
          <c:dPt>
            <c:idx val="9"/>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C7D4-4FE4-9CF2-58F3B6DE7659}"/>
              </c:ext>
            </c:extLst>
          </c:dPt>
          <c:dPt>
            <c:idx val="10"/>
            <c:bubble3D val="0"/>
            <c:spPr>
              <a:solidFill>
                <a:schemeClr val="accent5">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C7D4-4FE4-9CF2-58F3B6DE7659}"/>
              </c:ext>
            </c:extLst>
          </c:dPt>
          <c:dPt>
            <c:idx val="11"/>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C7D4-4FE4-9CF2-58F3B6DE7659}"/>
              </c:ext>
            </c:extLst>
          </c:dPt>
          <c:dLbls>
            <c:dLbl>
              <c:idx val="0"/>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1-C7D4-4FE4-9CF2-58F3B6DE7659}"/>
                </c:ext>
              </c:extLst>
            </c:dLbl>
            <c:dLbl>
              <c:idx val="1"/>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3-C7D4-4FE4-9CF2-58F3B6DE7659}"/>
                </c:ext>
              </c:extLst>
            </c:dLbl>
            <c:dLbl>
              <c:idx val="2"/>
              <c:layout>
                <c:manualLayout>
                  <c:x val="6.20267448904777E-2"/>
                  <c:y val="-5.5823734141883713E-2"/>
                </c:manualLayout>
              </c:layout>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C7D4-4FE4-9CF2-58F3B6DE7659}"/>
                </c:ext>
              </c:extLst>
            </c:dLbl>
            <c:dLbl>
              <c:idx val="3"/>
              <c:layout>
                <c:manualLayout>
                  <c:x val="0.13934701658860391"/>
                  <c:y val="-4.5665868160575801E-2"/>
                </c:manualLayout>
              </c:layout>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C7D4-4FE4-9CF2-58F3B6DE7659}"/>
                </c:ext>
              </c:extLst>
            </c:dLbl>
            <c:dLbl>
              <c:idx val="4"/>
              <c:layout>
                <c:manualLayout>
                  <c:x val="3.3124642927130674E-2"/>
                  <c:y val="9.5756984311727578E-2"/>
                </c:manualLayout>
              </c:layout>
              <c:numFmt formatCode="0.00%" sourceLinked="0"/>
              <c:spPr>
                <a:noFill/>
                <a:ln>
                  <a:noFill/>
                </a:ln>
                <a:effectLst/>
              </c:spPr>
              <c:txPr>
                <a:bodyPr rot="0" spcFirstLastPara="1" vertOverflow="ellipsis" vert="horz" wrap="square" anchor="ctr" anchorCtr="1"/>
                <a:lstStyle/>
                <a:p>
                  <a:pPr>
                    <a:defRPr sz="2400" b="1" i="0" u="none" strike="noStrike" kern="1200" spc="0" baseline="0">
                      <a:solidFill>
                        <a:schemeClr val="tx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layout>
                    <c:manualLayout>
                      <c:w val="0.27347693482268781"/>
                      <c:h val="0.10687349229763038"/>
                    </c:manualLayout>
                  </c15:layout>
                </c:ext>
                <c:ext xmlns:c16="http://schemas.microsoft.com/office/drawing/2014/chart" uri="{C3380CC4-5D6E-409C-BE32-E72D297353CC}">
                  <c16:uniqueId val="{00000009-C7D4-4FE4-9CF2-58F3B6DE7659}"/>
                </c:ext>
              </c:extLst>
            </c:dLbl>
            <c:dLbl>
              <c:idx val="5"/>
              <c:layout>
                <c:manualLayout>
                  <c:x val="-3.065360059798523E-2"/>
                  <c:y val="3.7229132136545676E-2"/>
                </c:manualLayout>
              </c:layout>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C7D4-4FE4-9CF2-58F3B6DE7659}"/>
                </c:ext>
              </c:extLst>
            </c:dLbl>
            <c:dLbl>
              <c:idx val="6"/>
              <c:layout>
                <c:manualLayout>
                  <c:x val="-0.1137566113485923"/>
                  <c:y val="8.0272321960451157E-2"/>
                </c:manualLayout>
              </c:layout>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C7D4-4FE4-9CF2-58F3B6DE7659}"/>
                </c:ext>
              </c:extLst>
            </c:dLbl>
            <c:dLbl>
              <c:idx val="7"/>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F-C7D4-4FE4-9CF2-58F3B6DE7659}"/>
                </c:ext>
              </c:extLst>
            </c:dLbl>
            <c:dLbl>
              <c:idx val="8"/>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1-C7D4-4FE4-9CF2-58F3B6DE7659}"/>
                </c:ext>
              </c:extLst>
            </c:dLbl>
            <c:dLbl>
              <c:idx val="9"/>
              <c:layout>
                <c:manualLayout>
                  <c:x val="-0.22161809443376823"/>
                  <c:y val="6.4713815240401554E-2"/>
                </c:manualLayout>
              </c:layout>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3-C7D4-4FE4-9CF2-58F3B6DE7659}"/>
                </c:ext>
              </c:extLst>
            </c:dLbl>
            <c:dLbl>
              <c:idx val="10"/>
              <c:layout>
                <c:manualLayout>
                  <c:x val="-0.19383256519099287"/>
                  <c:y val="-2.0828594214193173E-2"/>
                </c:manualLayout>
              </c:layout>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5-C7D4-4FE4-9CF2-58F3B6DE7659}"/>
                </c:ext>
              </c:extLst>
            </c:dLbl>
            <c:dLbl>
              <c:idx val="11"/>
              <c:layout>
                <c:manualLayout>
                  <c:x val="6.4583333333333298E-2"/>
                  <c:y val="-2.1680216802168022E-2"/>
                </c:manualLayout>
              </c:layout>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7-C7D4-4FE4-9CF2-58F3B6DE7659}"/>
                </c:ext>
              </c:extLst>
            </c:dLbl>
            <c:numFmt formatCode="0.00%" sourceLinked="0"/>
            <c:spPr>
              <a:noFill/>
              <a:ln>
                <a:noFill/>
              </a:ln>
              <a:effectLst/>
            </c:spPr>
            <c:txPr>
              <a:bodyPr rot="0" spcFirstLastPara="1" vertOverflow="ellipsis" vert="horz" wrap="square" anchor="ctr" anchorCtr="1"/>
              <a:lstStyle/>
              <a:p>
                <a:pPr>
                  <a:defRPr sz="2800" b="1" i="0" u="none" strike="noStrike" kern="1200" spc="0" baseline="0">
                    <a:solidFill>
                      <a:schemeClr val="tx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'NG Sectoral'!$T$12:$T$23</c:f>
              <c:strCache>
                <c:ptCount val="12"/>
                <c:pt idx="0">
                  <c:v>Power</c:v>
                </c:pt>
                <c:pt idx="1">
                  <c:v>City or local natural gas distribution network</c:v>
                </c:pt>
                <c:pt idx="2">
                  <c:v>Refinery</c:v>
                </c:pt>
                <c:pt idx="3">
                  <c:v>Internal consumption for Pipeline System</c:v>
                </c:pt>
                <c:pt idx="4">
                  <c:v>Agriculture (Tea Plantation)</c:v>
                </c:pt>
                <c:pt idx="5">
                  <c:v>Industrial</c:v>
                </c:pt>
                <c:pt idx="6">
                  <c:v>Manufacturing</c:v>
                </c:pt>
                <c:pt idx="7">
                  <c:v>Miscellaneous</c:v>
                </c:pt>
                <c:pt idx="8">
                  <c:v>Fertilizer</c:v>
                </c:pt>
                <c:pt idx="9">
                  <c:v>Petrochemicals</c:v>
                </c:pt>
                <c:pt idx="10">
                  <c:v>LPG shrinkage</c:v>
                </c:pt>
                <c:pt idx="11">
                  <c:v>Sponge iron</c:v>
                </c:pt>
              </c:strCache>
            </c:strRef>
          </c:cat>
          <c:val>
            <c:numRef>
              <c:f>'NG Sectoral'!$U$12:$U$23</c:f>
              <c:numCache>
                <c:formatCode>0</c:formatCode>
                <c:ptCount val="12"/>
                <c:pt idx="0">
                  <c:v>7959.9100653652968</c:v>
                </c:pt>
                <c:pt idx="1">
                  <c:v>16516.295082795041</c:v>
                </c:pt>
                <c:pt idx="2">
                  <c:v>5525.9984726777911</c:v>
                </c:pt>
                <c:pt idx="3">
                  <c:v>1830.5665483769994</c:v>
                </c:pt>
                <c:pt idx="4">
                  <c:v>132.35769500000001</c:v>
                </c:pt>
                <c:pt idx="5">
                  <c:v>780.72581240833824</c:v>
                </c:pt>
                <c:pt idx="6">
                  <c:v>1601.6448881220219</c:v>
                </c:pt>
                <c:pt idx="7">
                  <c:v>9715.9340052313019</c:v>
                </c:pt>
                <c:pt idx="8">
                  <c:v>19648.741706841491</c:v>
                </c:pt>
                <c:pt idx="9">
                  <c:v>3899.0861501389745</c:v>
                </c:pt>
                <c:pt idx="10">
                  <c:v>760.84194812700002</c:v>
                </c:pt>
                <c:pt idx="11">
                  <c:v>675.7061373719838</c:v>
                </c:pt>
              </c:numCache>
            </c:numRef>
          </c:val>
          <c:extLst>
            <c:ext xmlns:c16="http://schemas.microsoft.com/office/drawing/2014/chart" uri="{C3380CC4-5D6E-409C-BE32-E72D297353CC}">
              <c16:uniqueId val="{00000018-C7D4-4FE4-9CF2-58F3B6DE7659}"/>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F5E0B5"/>
    </a:solidFill>
    <a:ln w="19050" cap="flat" cmpd="sng" algn="ctr">
      <a:solidFill>
        <a:schemeClr val="dk1"/>
      </a:solidFill>
      <a:prstDash val="solid"/>
      <a:miter lim="800000"/>
    </a:ln>
    <a:effectLst/>
  </c:spPr>
  <c:txPr>
    <a:bodyPr/>
    <a:lstStyle/>
    <a:p>
      <a:pPr>
        <a:defRPr sz="2800">
          <a:solidFill>
            <a:schemeClr val="tx1"/>
          </a:solidFill>
          <a:latin typeface="+mn-lt"/>
          <a:ea typeface="+mn-ea"/>
          <a:cs typeface="+mn-cs"/>
        </a:defRPr>
      </a:pPr>
      <a:endParaRPr lang="en-US"/>
    </a:p>
  </c:txPr>
  <c:printSettings>
    <c:headerFooter/>
    <c:pageMargins b="0.75" l="0.7" r="0.7" t="0.75" header="0.3" footer="0.3"/>
    <c:pageSetup orientation="portrait"/>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79223058372316E-2"/>
          <c:y val="0.12511433968091804"/>
          <c:w val="0.90138887624596054"/>
          <c:h val="0.87147226993226412"/>
        </c:manualLayout>
      </c:layout>
      <c:pie3DChart>
        <c:varyColors val="1"/>
        <c:ser>
          <c:idx val="0"/>
          <c:order val="0"/>
          <c:spPr>
            <a:ln w="38100">
              <a:solidFill>
                <a:srgbClr val="7030A0"/>
              </a:solidFill>
            </a:ln>
          </c:spPr>
          <c:explosion val="26"/>
          <c:dPt>
            <c:idx val="0"/>
            <c:bubble3D val="0"/>
            <c:explosion val="0"/>
            <c:spPr>
              <a:solidFill>
                <a:schemeClr val="accent1"/>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1-2776-4FA4-B0E3-8809884B651A}"/>
              </c:ext>
            </c:extLst>
          </c:dPt>
          <c:dPt>
            <c:idx val="1"/>
            <c:bubble3D val="0"/>
            <c:explosion val="14"/>
            <c:spPr>
              <a:solidFill>
                <a:schemeClr val="accent2"/>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3-2776-4FA4-B0E3-8809884B651A}"/>
              </c:ext>
            </c:extLst>
          </c:dPt>
          <c:dPt>
            <c:idx val="2"/>
            <c:bubble3D val="0"/>
            <c:explosion val="0"/>
            <c:spPr>
              <a:solidFill>
                <a:schemeClr val="accent3"/>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5-2776-4FA4-B0E3-8809884B651A}"/>
              </c:ext>
            </c:extLst>
          </c:dPt>
          <c:dPt>
            <c:idx val="3"/>
            <c:bubble3D val="0"/>
            <c:explosion val="0"/>
            <c:spPr>
              <a:solidFill>
                <a:schemeClr val="accent4"/>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7-2776-4FA4-B0E3-8809884B651A}"/>
              </c:ext>
            </c:extLst>
          </c:dPt>
          <c:dPt>
            <c:idx val="4"/>
            <c:bubble3D val="0"/>
            <c:explosion val="0"/>
            <c:spPr>
              <a:solidFill>
                <a:schemeClr val="accent5"/>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9-2776-4FA4-B0E3-8809884B651A}"/>
              </c:ext>
            </c:extLst>
          </c:dPt>
          <c:dPt>
            <c:idx val="5"/>
            <c:bubble3D val="0"/>
            <c:explosion val="0"/>
            <c:spPr>
              <a:solidFill>
                <a:schemeClr val="accent6"/>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B-2776-4FA4-B0E3-8809884B651A}"/>
              </c:ext>
            </c:extLst>
          </c:dPt>
          <c:dPt>
            <c:idx val="6"/>
            <c:bubble3D val="0"/>
            <c:explosion val="2"/>
            <c:spPr>
              <a:solidFill>
                <a:schemeClr val="accent1">
                  <a:lumMod val="60000"/>
                </a:schemeClr>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D-2776-4FA4-B0E3-8809884B651A}"/>
              </c:ext>
            </c:extLst>
          </c:dPt>
          <c:dPt>
            <c:idx val="7"/>
            <c:bubble3D val="0"/>
            <c:explosion val="0"/>
            <c:spPr>
              <a:solidFill>
                <a:schemeClr val="accent2">
                  <a:lumMod val="60000"/>
                </a:schemeClr>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F-2776-4FA4-B0E3-8809884B651A}"/>
              </c:ext>
            </c:extLst>
          </c:dPt>
          <c:dPt>
            <c:idx val="8"/>
            <c:bubble3D val="0"/>
            <c:explosion val="0"/>
            <c:spPr>
              <a:solidFill>
                <a:schemeClr val="accent3">
                  <a:lumMod val="60000"/>
                </a:schemeClr>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11-2776-4FA4-B0E3-8809884B651A}"/>
              </c:ext>
            </c:extLst>
          </c:dPt>
          <c:dPt>
            <c:idx val="9"/>
            <c:bubble3D val="0"/>
            <c:spPr>
              <a:solidFill>
                <a:schemeClr val="accent4">
                  <a:lumMod val="60000"/>
                </a:schemeClr>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13-2776-4FA4-B0E3-8809884B651A}"/>
              </c:ext>
            </c:extLst>
          </c:dPt>
          <c:dLbls>
            <c:dLbl>
              <c:idx val="0"/>
              <c:layout>
                <c:manualLayout>
                  <c:x val="6.5277777777777782E-2"/>
                  <c:y val="-4.6296296296296294E-3"/>
                </c:manualLayout>
              </c:layout>
              <c:tx>
                <c:rich>
                  <a:bodyPr rot="0" spcFirstLastPara="1" vertOverflow="ellipsis" vert="horz" wrap="square" anchor="ctr" anchorCtr="1"/>
                  <a:lstStyle/>
                  <a:p>
                    <a:pPr>
                      <a:defRPr sz="1200" b="1" i="0" u="none" strike="noStrike" kern="1200" spc="0" baseline="0">
                        <a:solidFill>
                          <a:schemeClr val="accent1"/>
                        </a:solidFill>
                        <a:latin typeface="Book Antiqua" panose="02040602050305030304" pitchFamily="18" charset="0"/>
                        <a:ea typeface="+mn-ea"/>
                        <a:cs typeface="+mn-cs"/>
                      </a:defRPr>
                    </a:pPr>
                    <a:fld id="{FFCC149C-E205-4FFF-ADE3-6E80B9C2893E}" type="CATEGORYNAME">
                      <a:rPr lang="en-US" sz="1200"/>
                      <a:pPr>
                        <a:defRPr sz="1200"/>
                      </a:pPr>
                      <a:t>[CATEGORY NAME]</a:t>
                    </a:fld>
                    <a:r>
                      <a:rPr lang="en-US" sz="1200" baseline="0"/>
                      <a:t>
0.4%</a:t>
                    </a:r>
                  </a:p>
                </c:rich>
              </c:tx>
              <c:spPr>
                <a:noFill/>
                <a:ln>
                  <a:noFill/>
                </a:ln>
                <a:effectLst/>
              </c:spPr>
              <c:txPr>
                <a:bodyPr rot="0" spcFirstLastPara="1" vertOverflow="ellipsis" vert="horz" wrap="square" anchor="ctr" anchorCtr="1"/>
                <a:lstStyle/>
                <a:p>
                  <a:pPr>
                    <a:defRPr sz="1200" b="1" i="0" u="none" strike="noStrike" kern="1200" spc="0" baseline="0">
                      <a:solidFill>
                        <a:schemeClr val="accent1"/>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layout>
                    <c:manualLayout>
                      <c:w val="0.12868044619422572"/>
                      <c:h val="0.12689814814814815"/>
                    </c:manualLayout>
                  </c15:layout>
                  <c15:dlblFieldTable/>
                  <c15:showDataLabelsRange val="0"/>
                </c:ext>
                <c:ext xmlns:c16="http://schemas.microsoft.com/office/drawing/2014/chart" uri="{C3380CC4-5D6E-409C-BE32-E72D297353CC}">
                  <c16:uniqueId val="{00000001-2776-4FA4-B0E3-8809884B651A}"/>
                </c:ext>
              </c:extLst>
            </c:dLbl>
            <c:dLbl>
              <c:idx val="1"/>
              <c:spPr>
                <a:noFill/>
                <a:ln>
                  <a:noFill/>
                </a:ln>
                <a:effectLst/>
              </c:spPr>
              <c:txPr>
                <a:bodyPr rot="0" spcFirstLastPara="1" vertOverflow="ellipsis" vert="horz" wrap="square" anchor="ctr" anchorCtr="1"/>
                <a:lstStyle/>
                <a:p>
                  <a:pPr>
                    <a:defRPr sz="1200" b="1" i="0" u="none" strike="noStrike" kern="1200" spc="0" baseline="0">
                      <a:solidFill>
                        <a:schemeClr val="accent2"/>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3-2776-4FA4-B0E3-8809884B651A}"/>
                </c:ext>
              </c:extLst>
            </c:dLbl>
            <c:dLbl>
              <c:idx val="2"/>
              <c:tx>
                <c:rich>
                  <a:bodyPr rot="0" spcFirstLastPara="1" vertOverflow="ellipsis" vert="horz" wrap="square" anchor="ctr" anchorCtr="1"/>
                  <a:lstStyle/>
                  <a:p>
                    <a:pPr>
                      <a:defRPr sz="1200" b="1" i="0" u="none" strike="noStrike" kern="1200" spc="0" baseline="0">
                        <a:solidFill>
                          <a:schemeClr val="accent1"/>
                        </a:solidFill>
                        <a:latin typeface="Book Antiqua" panose="02040602050305030304" pitchFamily="18" charset="0"/>
                        <a:ea typeface="+mn-ea"/>
                        <a:cs typeface="+mn-cs"/>
                      </a:defRPr>
                    </a:pPr>
                    <a:fld id="{6C34575E-4E0C-4159-B340-94AB20CEFA8F}" type="CATEGORYNAME">
                      <a:rPr lang="en-US" sz="1200"/>
                      <a:pPr>
                        <a:defRPr sz="1200">
                          <a:solidFill>
                            <a:schemeClr val="accent1"/>
                          </a:solidFill>
                        </a:defRPr>
                      </a:pPr>
                      <a:t>[CATEGORY NAME]</a:t>
                    </a:fld>
                    <a:r>
                      <a:rPr lang="en-US" sz="1200" baseline="0"/>
                      <a:t>
0.2%</a:t>
                    </a:r>
                  </a:p>
                </c:rich>
              </c:tx>
              <c:spPr>
                <a:noFill/>
                <a:ln>
                  <a:noFill/>
                </a:ln>
                <a:effectLst/>
              </c:spPr>
              <c:txPr>
                <a:bodyPr rot="0" spcFirstLastPara="1" vertOverflow="ellipsis" vert="horz" wrap="square" anchor="ctr" anchorCtr="1"/>
                <a:lstStyle/>
                <a:p>
                  <a:pPr>
                    <a:defRPr sz="1200" b="1" i="0" u="none" strike="noStrike" kern="1200" spc="0" baseline="0">
                      <a:solidFill>
                        <a:schemeClr val="accent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5-2776-4FA4-B0E3-8809884B651A}"/>
                </c:ext>
              </c:extLst>
            </c:dLbl>
            <c:dLbl>
              <c:idx val="3"/>
              <c:spPr>
                <a:noFill/>
                <a:ln>
                  <a:noFill/>
                </a:ln>
                <a:effectLst/>
              </c:spPr>
              <c:txPr>
                <a:bodyPr rot="0" spcFirstLastPara="1" vertOverflow="ellipsis" vert="horz" wrap="square" anchor="ctr" anchorCtr="1"/>
                <a:lstStyle/>
                <a:p>
                  <a:pPr>
                    <a:defRPr sz="1200" b="1" i="0" u="none" strike="noStrike" kern="1200" spc="0" baseline="0">
                      <a:solidFill>
                        <a:schemeClr val="accent4"/>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7-2776-4FA4-B0E3-8809884B651A}"/>
                </c:ext>
              </c:extLst>
            </c:dLbl>
            <c:dLbl>
              <c:idx val="4"/>
              <c:spPr>
                <a:noFill/>
                <a:ln>
                  <a:noFill/>
                </a:ln>
                <a:effectLst/>
              </c:spPr>
              <c:txPr>
                <a:bodyPr rot="0" spcFirstLastPara="1" vertOverflow="ellipsis" vert="horz" wrap="square" anchor="ctr" anchorCtr="1"/>
                <a:lstStyle/>
                <a:p>
                  <a:pPr>
                    <a:defRPr sz="1200" b="1" i="0" u="none" strike="noStrike" kern="1200" spc="0" baseline="0">
                      <a:solidFill>
                        <a:schemeClr val="accent5"/>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9-2776-4FA4-B0E3-8809884B651A}"/>
                </c:ext>
              </c:extLst>
            </c:dLbl>
            <c:dLbl>
              <c:idx val="5"/>
              <c:spPr>
                <a:noFill/>
                <a:ln>
                  <a:noFill/>
                </a:ln>
                <a:effectLst/>
              </c:spPr>
              <c:txPr>
                <a:bodyPr rot="0" spcFirstLastPara="1" vertOverflow="ellipsis" vert="horz" wrap="square" anchor="ctr" anchorCtr="1"/>
                <a:lstStyle/>
                <a:p>
                  <a:pPr>
                    <a:defRPr sz="1200" b="1" i="0" u="none" strike="noStrike" kern="1200" spc="0" baseline="0">
                      <a:solidFill>
                        <a:schemeClr val="accent6"/>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B-2776-4FA4-B0E3-8809884B651A}"/>
                </c:ext>
              </c:extLst>
            </c:dLbl>
            <c:dLbl>
              <c:idx val="6"/>
              <c:spPr>
                <a:noFill/>
                <a:ln>
                  <a:noFill/>
                </a:ln>
                <a:effectLst/>
              </c:spPr>
              <c:txPr>
                <a:bodyPr rot="0" spcFirstLastPara="1" vertOverflow="ellipsis" vert="horz" wrap="square" anchor="ctr" anchorCtr="1"/>
                <a:lstStyle/>
                <a:p>
                  <a:pPr>
                    <a:defRPr sz="1200" b="1" i="0" u="none" strike="noStrike" kern="1200" spc="0" baseline="0">
                      <a:solidFill>
                        <a:schemeClr val="accent1">
                          <a:lumMod val="60000"/>
                        </a:schemeClr>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D-2776-4FA4-B0E3-8809884B651A}"/>
                </c:ext>
              </c:extLst>
            </c:dLbl>
            <c:dLbl>
              <c:idx val="7"/>
              <c:spPr>
                <a:noFill/>
                <a:ln>
                  <a:noFill/>
                </a:ln>
                <a:effectLst/>
              </c:spPr>
              <c:txPr>
                <a:bodyPr rot="0" spcFirstLastPara="1" vertOverflow="ellipsis" vert="horz" wrap="square" anchor="ctr" anchorCtr="1"/>
                <a:lstStyle/>
                <a:p>
                  <a:pPr>
                    <a:defRPr sz="1200" b="1" i="0" u="none" strike="noStrike" kern="1200" spc="0" baseline="0">
                      <a:solidFill>
                        <a:schemeClr val="accent2">
                          <a:lumMod val="60000"/>
                        </a:schemeClr>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F-2776-4FA4-B0E3-8809884B651A}"/>
                </c:ext>
              </c:extLst>
            </c:dLbl>
            <c:dLbl>
              <c:idx val="8"/>
              <c:spPr>
                <a:noFill/>
                <a:ln>
                  <a:noFill/>
                </a:ln>
                <a:effectLst/>
              </c:spPr>
              <c:txPr>
                <a:bodyPr rot="0" spcFirstLastPara="1" vertOverflow="ellipsis" vert="horz" wrap="square" anchor="ctr" anchorCtr="1"/>
                <a:lstStyle/>
                <a:p>
                  <a:pPr>
                    <a:defRPr sz="1200" b="1" i="0" u="none" strike="noStrike" kern="1200" spc="0" baseline="0">
                      <a:solidFill>
                        <a:schemeClr val="accent3">
                          <a:lumMod val="60000"/>
                        </a:schemeClr>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1-2776-4FA4-B0E3-8809884B651A}"/>
                </c:ext>
              </c:extLst>
            </c:dLbl>
            <c:dLbl>
              <c:idx val="9"/>
              <c:layout>
                <c:manualLayout>
                  <c:x val="-3.6111111111111108E-2"/>
                  <c:y val="-9.2592592592592587E-3"/>
                </c:manualLayout>
              </c:layout>
              <c:tx>
                <c:rich>
                  <a:bodyPr rot="0" spcFirstLastPara="1" vertOverflow="ellipsis" vert="horz" wrap="square" anchor="ctr" anchorCtr="1"/>
                  <a:lstStyle/>
                  <a:p>
                    <a:pPr>
                      <a:defRPr sz="1200" b="1" i="0" u="none" strike="noStrike" kern="1200" spc="0" baseline="0">
                        <a:solidFill>
                          <a:schemeClr val="accent1"/>
                        </a:solidFill>
                        <a:latin typeface="Book Antiqua" panose="02040602050305030304" pitchFamily="18" charset="0"/>
                        <a:ea typeface="+mn-ea"/>
                        <a:cs typeface="+mn-cs"/>
                      </a:defRPr>
                    </a:pPr>
                    <a:fld id="{3E865B62-065E-45D8-B2AD-09CB65D2ADFF}" type="CATEGORYNAME">
                      <a:rPr lang="en-US" sz="1200"/>
                      <a:pPr>
                        <a:defRPr sz="1200">
                          <a:solidFill>
                            <a:schemeClr val="accent1"/>
                          </a:solidFill>
                        </a:defRPr>
                      </a:pPr>
                      <a:t>[CATEGORY NAME]</a:t>
                    </a:fld>
                    <a:r>
                      <a:rPr lang="en-US" sz="1200" baseline="0"/>
                      <a:t>
0.09&amp;</a:t>
                    </a:r>
                  </a:p>
                </c:rich>
              </c:tx>
              <c:spPr>
                <a:noFill/>
                <a:ln>
                  <a:noFill/>
                </a:ln>
                <a:effectLst/>
              </c:spPr>
              <c:txPr>
                <a:bodyPr rot="0" spcFirstLastPara="1" vertOverflow="ellipsis" vert="horz" wrap="square" anchor="ctr" anchorCtr="1"/>
                <a:lstStyle/>
                <a:p>
                  <a:pPr>
                    <a:defRPr sz="1200" b="1" i="0" u="none" strike="noStrike" kern="1200" spc="0" baseline="0">
                      <a:solidFill>
                        <a:schemeClr val="accent1"/>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13-2776-4FA4-B0E3-8809884B651A}"/>
                </c:ext>
              </c:extLst>
            </c:dLbl>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'[8]5.1 CHART_NEW'!$C$5:$C$14</c:f>
              <c:strCache>
                <c:ptCount val="10"/>
                <c:pt idx="0">
                  <c:v>AGIL</c:v>
                </c:pt>
                <c:pt idx="1">
                  <c:v>GAIL</c:v>
                </c:pt>
                <c:pt idx="2">
                  <c:v>GGL</c:v>
                </c:pt>
                <c:pt idx="3">
                  <c:v>GIGL</c:v>
                </c:pt>
                <c:pt idx="4">
                  <c:v>PIL</c:v>
                </c:pt>
                <c:pt idx="5">
                  <c:v>IOCL</c:v>
                </c:pt>
                <c:pt idx="6">
                  <c:v>GITL</c:v>
                </c:pt>
                <c:pt idx="7">
                  <c:v>RGPL</c:v>
                </c:pt>
                <c:pt idx="8">
                  <c:v>GSPL</c:v>
                </c:pt>
                <c:pt idx="9">
                  <c:v>ONGC</c:v>
                </c:pt>
              </c:strCache>
            </c:strRef>
          </c:cat>
          <c:val>
            <c:numRef>
              <c:f>'[8]5.1 CHART_NEW'!$D$5:$D$14</c:f>
              <c:numCache>
                <c:formatCode>General</c:formatCode>
                <c:ptCount val="10"/>
                <c:pt idx="0">
                  <c:v>106.71299999999999</c:v>
                </c:pt>
                <c:pt idx="1">
                  <c:v>15187</c:v>
                </c:pt>
                <c:pt idx="2">
                  <c:v>73.2</c:v>
                </c:pt>
                <c:pt idx="3">
                  <c:v>1934.42</c:v>
                </c:pt>
                <c:pt idx="4">
                  <c:v>1485</c:v>
                </c:pt>
                <c:pt idx="5">
                  <c:v>1659</c:v>
                </c:pt>
                <c:pt idx="6">
                  <c:v>2042</c:v>
                </c:pt>
                <c:pt idx="7">
                  <c:v>304</c:v>
                </c:pt>
                <c:pt idx="8">
                  <c:v>2715</c:v>
                </c:pt>
                <c:pt idx="9">
                  <c:v>24</c:v>
                </c:pt>
              </c:numCache>
            </c:numRef>
          </c:val>
          <c:extLst>
            <c:ext xmlns:c16="http://schemas.microsoft.com/office/drawing/2014/chart" uri="{C3380CC4-5D6E-409C-BE32-E72D297353CC}">
              <c16:uniqueId val="{00000014-2776-4FA4-B0E3-8809884B651A}"/>
            </c:ext>
          </c:extLst>
        </c:ser>
        <c:dLbls>
          <c:dLblPos val="outEnd"/>
          <c:showLegendKey val="0"/>
          <c:showVal val="0"/>
          <c:showCatName val="1"/>
          <c:showSerName val="0"/>
          <c:showPercent val="0"/>
          <c:showBubbleSize val="0"/>
          <c:showLeaderLines val="1"/>
        </c:dLbls>
      </c:pie3DChart>
      <c:spPr>
        <a:noFill/>
        <a:ln w="25400">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F5E0B5"/>
    </a:solidFill>
    <a:ln w="19050" cap="flat" cmpd="sng" algn="ctr">
      <a:solidFill>
        <a:srgbClr val="7030A0"/>
      </a:solidFill>
      <a:round/>
    </a:ln>
    <a:effectLst/>
  </c:spPr>
  <c:txPr>
    <a:bodyPr/>
    <a:lstStyle/>
    <a:p>
      <a:pPr>
        <a:defRPr sz="900">
          <a:latin typeface="Book Antiqua" panose="02040602050305030304" pitchFamily="18" charset="0"/>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8611111111111108E-2"/>
          <c:y val="0.27939814814814817"/>
          <c:w val="0.80138888888888893"/>
          <c:h val="0.70527777777777778"/>
        </c:manualLayout>
      </c:layout>
      <c:pie3DChart>
        <c:varyColors val="1"/>
        <c:ser>
          <c:idx val="0"/>
          <c:order val="0"/>
          <c:spPr>
            <a:ln w="38100">
              <a:solidFill>
                <a:srgbClr val="7030A0"/>
              </a:solidFill>
            </a:ln>
          </c:spPr>
          <c:explosion val="39"/>
          <c:dPt>
            <c:idx val="0"/>
            <c:bubble3D val="0"/>
            <c:spPr>
              <a:solidFill>
                <a:schemeClr val="accent1"/>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1-11D8-4F5D-BD85-5358AADA5E52}"/>
              </c:ext>
            </c:extLst>
          </c:dPt>
          <c:dPt>
            <c:idx val="1"/>
            <c:bubble3D val="0"/>
            <c:spPr>
              <a:solidFill>
                <a:schemeClr val="accent2"/>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3-11D8-4F5D-BD85-5358AADA5E52}"/>
              </c:ext>
            </c:extLst>
          </c:dPt>
          <c:dPt>
            <c:idx val="2"/>
            <c:bubble3D val="0"/>
            <c:spPr>
              <a:solidFill>
                <a:schemeClr val="accent3"/>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5-11D8-4F5D-BD85-5358AADA5E52}"/>
              </c:ext>
            </c:extLst>
          </c:dPt>
          <c:dPt>
            <c:idx val="3"/>
            <c:bubble3D val="0"/>
            <c:spPr>
              <a:solidFill>
                <a:schemeClr val="accent4"/>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7-11D8-4F5D-BD85-5358AADA5E52}"/>
              </c:ext>
            </c:extLst>
          </c:dPt>
          <c:dPt>
            <c:idx val="4"/>
            <c:bubble3D val="0"/>
            <c:spPr>
              <a:solidFill>
                <a:schemeClr val="accent5"/>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9-11D8-4F5D-BD85-5358AADA5E52}"/>
              </c:ext>
            </c:extLst>
          </c:dPt>
          <c:dPt>
            <c:idx val="5"/>
            <c:bubble3D val="0"/>
            <c:spPr>
              <a:solidFill>
                <a:schemeClr val="accent6"/>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B-11D8-4F5D-BD85-5358AADA5E52}"/>
              </c:ext>
            </c:extLst>
          </c:dPt>
          <c:dPt>
            <c:idx val="6"/>
            <c:bubble3D val="0"/>
            <c:spPr>
              <a:solidFill>
                <a:schemeClr val="accent1">
                  <a:lumMod val="60000"/>
                </a:schemeClr>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D-11D8-4F5D-BD85-5358AADA5E52}"/>
              </c:ext>
            </c:extLst>
          </c:dPt>
          <c:dPt>
            <c:idx val="7"/>
            <c:bubble3D val="0"/>
            <c:spPr>
              <a:solidFill>
                <a:schemeClr val="accent2">
                  <a:lumMod val="60000"/>
                </a:schemeClr>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0F-11D8-4F5D-BD85-5358AADA5E52}"/>
              </c:ext>
            </c:extLst>
          </c:dPt>
          <c:dPt>
            <c:idx val="8"/>
            <c:bubble3D val="0"/>
            <c:spPr>
              <a:solidFill>
                <a:schemeClr val="accent3">
                  <a:lumMod val="60000"/>
                </a:schemeClr>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11-11D8-4F5D-BD85-5358AADA5E52}"/>
              </c:ext>
            </c:extLst>
          </c:dPt>
          <c:dPt>
            <c:idx val="9"/>
            <c:bubble3D val="0"/>
            <c:spPr>
              <a:solidFill>
                <a:schemeClr val="accent4">
                  <a:lumMod val="60000"/>
                </a:schemeClr>
              </a:solidFill>
              <a:ln w="38100">
                <a:solidFill>
                  <a:srgbClr val="7030A0"/>
                </a:solidFill>
              </a:ln>
              <a:effectLst>
                <a:outerShdw blurRad="88900" sx="102000" sy="102000" algn="ctr" rotWithShape="0">
                  <a:prstClr val="black">
                    <a:alpha val="10000"/>
                  </a:prstClr>
                </a:outerShdw>
              </a:effectLst>
              <a:scene3d>
                <a:camera prst="orthographicFront"/>
                <a:lightRig rig="threePt" dir="t"/>
              </a:scene3d>
              <a:sp3d contourW="38100">
                <a:bevelT w="127000" h="127000"/>
                <a:bevelB w="127000" h="127000"/>
                <a:contourClr>
                  <a:srgbClr val="7030A0"/>
                </a:contourClr>
              </a:sp3d>
            </c:spPr>
            <c:extLst>
              <c:ext xmlns:c16="http://schemas.microsoft.com/office/drawing/2014/chart" uri="{C3380CC4-5D6E-409C-BE32-E72D297353CC}">
                <c16:uniqueId val="{00000013-11D8-4F5D-BD85-5358AADA5E52}"/>
              </c:ext>
            </c:extLst>
          </c:dPt>
          <c:dLbls>
            <c:dLbl>
              <c:idx val="0"/>
              <c:layout>
                <c:manualLayout>
                  <c:x val="6.5277777777777782E-2"/>
                  <c:y val="-4.6296296296296294E-3"/>
                </c:manualLayout>
              </c:layout>
              <c:tx>
                <c:rich>
                  <a:bodyPr rot="0" spcFirstLastPara="1" vertOverflow="ellipsis" vert="horz" wrap="square" anchor="ctr" anchorCtr="1"/>
                  <a:lstStyle/>
                  <a:p>
                    <a:pPr>
                      <a:defRPr sz="900" b="1" i="0" u="none" strike="noStrike" kern="1200" spc="0" baseline="0">
                        <a:solidFill>
                          <a:schemeClr val="accent1"/>
                        </a:solidFill>
                        <a:latin typeface="Book Antiqua" panose="02040602050305030304" pitchFamily="18" charset="0"/>
                        <a:ea typeface="+mn-ea"/>
                        <a:cs typeface="+mn-cs"/>
                      </a:defRPr>
                    </a:pPr>
                    <a:fld id="{FFCC149C-E205-4FFF-ADE3-6E80B9C2893E}" type="CATEGORYNAME">
                      <a:rPr lang="en-US"/>
                      <a:pPr>
                        <a:defRPr/>
                      </a:pPr>
                      <a:t>[CATEGORY NAME]</a:t>
                    </a:fld>
                    <a:r>
                      <a:rPr lang="en-US" baseline="0"/>
                      <a:t>
0.4%</a:t>
                    </a:r>
                  </a:p>
                </c:rich>
              </c:tx>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layout>
                    <c:manualLayout>
                      <c:w val="0.12868044619422572"/>
                      <c:h val="0.12689814814814815"/>
                    </c:manualLayout>
                  </c15:layout>
                  <c15:dlblFieldTable/>
                  <c15:showDataLabelsRange val="0"/>
                </c:ext>
                <c:ext xmlns:c16="http://schemas.microsoft.com/office/drawing/2014/chart" uri="{C3380CC4-5D6E-409C-BE32-E72D297353CC}">
                  <c16:uniqueId val="{00000001-11D8-4F5D-BD85-5358AADA5E52}"/>
                </c:ext>
              </c:extLst>
            </c:dLbl>
            <c:dLbl>
              <c:idx val="1"/>
              <c:spPr>
                <a:noFill/>
                <a:ln>
                  <a:noFill/>
                </a:ln>
                <a:effectLst/>
              </c:spPr>
              <c:txPr>
                <a:bodyPr rot="0" spcFirstLastPara="1" vertOverflow="ellipsis" vert="horz" wrap="square" anchor="ctr" anchorCtr="1"/>
                <a:lstStyle/>
                <a:p>
                  <a:pPr>
                    <a:defRPr sz="900" b="1" i="0" u="none" strike="noStrike" kern="1200" spc="0" baseline="0">
                      <a:solidFill>
                        <a:schemeClr val="accent2"/>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3-11D8-4F5D-BD85-5358AADA5E52}"/>
                </c:ext>
              </c:extLst>
            </c:dLbl>
            <c:dLbl>
              <c:idx val="2"/>
              <c:tx>
                <c:rich>
                  <a:bodyPr rot="0" spcFirstLastPara="1" vertOverflow="ellipsis" vert="horz" wrap="square" anchor="ctr" anchorCtr="1"/>
                  <a:lstStyle/>
                  <a:p>
                    <a:pPr>
                      <a:defRPr sz="900" b="1" i="0" u="none" strike="noStrike" kern="1200" spc="0" baseline="0">
                        <a:solidFill>
                          <a:schemeClr val="accent1"/>
                        </a:solidFill>
                        <a:latin typeface="Book Antiqua" panose="02040602050305030304" pitchFamily="18" charset="0"/>
                        <a:ea typeface="+mn-ea"/>
                        <a:cs typeface="+mn-cs"/>
                      </a:defRPr>
                    </a:pPr>
                    <a:fld id="{6C34575E-4E0C-4159-B340-94AB20CEFA8F}" type="CATEGORYNAME">
                      <a:rPr lang="en-US"/>
                      <a:pPr>
                        <a:defRPr>
                          <a:solidFill>
                            <a:schemeClr val="accent1"/>
                          </a:solidFill>
                        </a:defRPr>
                      </a:pPr>
                      <a:t>[CATEGORY NAME]</a:t>
                    </a:fld>
                    <a:r>
                      <a:rPr lang="en-US" baseline="0"/>
                      <a:t>
0.2%</a:t>
                    </a:r>
                  </a:p>
                </c:rich>
              </c:tx>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5-11D8-4F5D-BD85-5358AADA5E52}"/>
                </c:ext>
              </c:extLst>
            </c:dLbl>
            <c:dLbl>
              <c:idx val="3"/>
              <c:spPr>
                <a:noFill/>
                <a:ln>
                  <a:noFill/>
                </a:ln>
                <a:effectLst/>
              </c:spPr>
              <c:txPr>
                <a:bodyPr rot="0" spcFirstLastPara="1" vertOverflow="ellipsis" vert="horz" wrap="square" anchor="ctr" anchorCtr="1"/>
                <a:lstStyle/>
                <a:p>
                  <a:pPr>
                    <a:defRPr sz="900" b="1" i="0" u="none" strike="noStrike" kern="1200" spc="0" baseline="0">
                      <a:solidFill>
                        <a:schemeClr val="accent4"/>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7-11D8-4F5D-BD85-5358AADA5E52}"/>
                </c:ext>
              </c:extLst>
            </c:dLbl>
            <c:dLbl>
              <c:idx val="4"/>
              <c:spPr>
                <a:noFill/>
                <a:ln>
                  <a:noFill/>
                </a:ln>
                <a:effectLst/>
              </c:spPr>
              <c:txPr>
                <a:bodyPr rot="0" spcFirstLastPara="1" vertOverflow="ellipsis" vert="horz" wrap="square" anchor="ctr" anchorCtr="1"/>
                <a:lstStyle/>
                <a:p>
                  <a:pPr>
                    <a:defRPr sz="900" b="1" i="0" u="none" strike="noStrike" kern="1200" spc="0" baseline="0">
                      <a:solidFill>
                        <a:schemeClr val="accent5"/>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9-11D8-4F5D-BD85-5358AADA5E52}"/>
                </c:ext>
              </c:extLst>
            </c:dLbl>
            <c:dLbl>
              <c:idx val="5"/>
              <c:spPr>
                <a:noFill/>
                <a:ln>
                  <a:noFill/>
                </a:ln>
                <a:effectLst/>
              </c:spPr>
              <c:txPr>
                <a:bodyPr rot="0" spcFirstLastPara="1" vertOverflow="ellipsis" vert="horz" wrap="square" anchor="ctr" anchorCtr="1"/>
                <a:lstStyle/>
                <a:p>
                  <a:pPr>
                    <a:defRPr sz="900" b="1" i="0" u="none" strike="noStrike" kern="1200" spc="0" baseline="0">
                      <a:solidFill>
                        <a:schemeClr val="accent6"/>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B-11D8-4F5D-BD85-5358AADA5E52}"/>
                </c:ext>
              </c:extLst>
            </c:dLbl>
            <c:dLbl>
              <c:idx val="6"/>
              <c:spPr>
                <a:noFill/>
                <a:ln>
                  <a:noFill/>
                </a:ln>
                <a:effectLst/>
              </c:spPr>
              <c:txPr>
                <a:bodyPr rot="0" spcFirstLastPara="1" vertOverflow="ellipsis" vert="horz" wrap="square" anchor="ctr" anchorCtr="1"/>
                <a:lstStyle/>
                <a:p>
                  <a:pPr>
                    <a:defRPr sz="900" b="1" i="0" u="none" strike="noStrike" kern="1200" spc="0" baseline="0">
                      <a:solidFill>
                        <a:schemeClr val="accent1">
                          <a:lumMod val="60000"/>
                        </a:schemeClr>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D-11D8-4F5D-BD85-5358AADA5E52}"/>
                </c:ext>
              </c:extLst>
            </c:dLbl>
            <c:dLbl>
              <c:idx val="7"/>
              <c:spPr>
                <a:noFill/>
                <a:ln>
                  <a:noFill/>
                </a:ln>
                <a:effectLst/>
              </c:spPr>
              <c:txPr>
                <a:bodyPr rot="0" spcFirstLastPara="1" vertOverflow="ellipsis" vert="horz" wrap="square" anchor="ctr" anchorCtr="1"/>
                <a:lstStyle/>
                <a:p>
                  <a:pPr>
                    <a:defRPr sz="900" b="1" i="0" u="none" strike="noStrike" kern="1200" spc="0" baseline="0">
                      <a:solidFill>
                        <a:schemeClr val="accent2">
                          <a:lumMod val="60000"/>
                        </a:schemeClr>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F-11D8-4F5D-BD85-5358AADA5E52}"/>
                </c:ext>
              </c:extLst>
            </c:dLbl>
            <c:dLbl>
              <c:idx val="8"/>
              <c:spPr>
                <a:noFill/>
                <a:ln>
                  <a:noFill/>
                </a:ln>
                <a:effectLst/>
              </c:spPr>
              <c:txPr>
                <a:bodyPr rot="0" spcFirstLastPara="1" vertOverflow="ellipsis" vert="horz" wrap="square" anchor="ctr" anchorCtr="1"/>
                <a:lstStyle/>
                <a:p>
                  <a:pPr>
                    <a:defRPr sz="900" b="1" i="0" u="none" strike="noStrike" kern="1200" spc="0" baseline="0">
                      <a:solidFill>
                        <a:schemeClr val="accent3">
                          <a:lumMod val="60000"/>
                        </a:schemeClr>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1-11D8-4F5D-BD85-5358AADA5E52}"/>
                </c:ext>
              </c:extLst>
            </c:dLbl>
            <c:dLbl>
              <c:idx val="9"/>
              <c:layout>
                <c:manualLayout>
                  <c:x val="-3.6111111111111108E-2"/>
                  <c:y val="-9.2592592592592587E-3"/>
                </c:manualLayout>
              </c:layout>
              <c:tx>
                <c:rich>
                  <a:bodyPr rot="0" spcFirstLastPara="1" vertOverflow="ellipsis" vert="horz" wrap="square" anchor="ctr" anchorCtr="1"/>
                  <a:lstStyle/>
                  <a:p>
                    <a:pPr>
                      <a:defRPr sz="900" b="1" i="0" u="none" strike="noStrike" kern="1200" spc="0" baseline="0">
                        <a:solidFill>
                          <a:schemeClr val="accent1"/>
                        </a:solidFill>
                        <a:latin typeface="Book Antiqua" panose="02040602050305030304" pitchFamily="18" charset="0"/>
                        <a:ea typeface="+mn-ea"/>
                        <a:cs typeface="+mn-cs"/>
                      </a:defRPr>
                    </a:pPr>
                    <a:fld id="{3E865B62-065E-45D8-B2AD-09CB65D2ADFF}" type="CATEGORYNAME">
                      <a:rPr lang="en-US"/>
                      <a:pPr>
                        <a:defRPr>
                          <a:solidFill>
                            <a:schemeClr val="accent1"/>
                          </a:solidFill>
                        </a:defRPr>
                      </a:pPr>
                      <a:t>[CATEGORY NAME]</a:t>
                    </a:fld>
                    <a:r>
                      <a:rPr lang="en-US" baseline="0"/>
                      <a:t>
0.09&amp;</a:t>
                    </a:r>
                  </a:p>
                </c:rich>
              </c:tx>
              <c:spPr>
                <a:noFill/>
                <a:ln>
                  <a:noFill/>
                </a:ln>
                <a:effectLst/>
              </c:spPr>
              <c:txPr>
                <a:bodyPr rot="0" spcFirstLastPara="1" vertOverflow="ellipsis" vert="horz" wrap="square" anchor="ctr" anchorCtr="1"/>
                <a:lstStyle/>
                <a:p>
                  <a:pPr>
                    <a:defRPr sz="900" b="1" i="0" u="none" strike="noStrike" kern="1200" spc="0" baseline="0">
                      <a:solidFill>
                        <a:schemeClr val="accent1"/>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13-11D8-4F5D-BD85-5358AADA5E52}"/>
                </c:ext>
              </c:extLst>
            </c:dLbl>
            <c:spPr>
              <a:noFill/>
              <a:ln>
                <a:noFill/>
              </a:ln>
              <a:effectLst/>
            </c:sp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'5.1 CHART_NEW'!$C$5:$C$14</c:f>
              <c:strCache>
                <c:ptCount val="10"/>
                <c:pt idx="0">
                  <c:v>AGIL</c:v>
                </c:pt>
                <c:pt idx="1">
                  <c:v>GAIL</c:v>
                </c:pt>
                <c:pt idx="2">
                  <c:v>GGL</c:v>
                </c:pt>
                <c:pt idx="3">
                  <c:v>GIGL</c:v>
                </c:pt>
                <c:pt idx="4">
                  <c:v>PIL</c:v>
                </c:pt>
                <c:pt idx="5">
                  <c:v>IOCL</c:v>
                </c:pt>
                <c:pt idx="6">
                  <c:v>GITL</c:v>
                </c:pt>
                <c:pt idx="7">
                  <c:v>RGPL</c:v>
                </c:pt>
                <c:pt idx="8">
                  <c:v>GSPL</c:v>
                </c:pt>
                <c:pt idx="9">
                  <c:v>ONGC</c:v>
                </c:pt>
              </c:strCache>
            </c:strRef>
          </c:cat>
          <c:val>
            <c:numRef>
              <c:f>'5.1 CHART_NEW'!$D$5:$D$14</c:f>
              <c:numCache>
                <c:formatCode>0.0</c:formatCode>
                <c:ptCount val="10"/>
                <c:pt idx="0">
                  <c:v>106.71299999999999</c:v>
                </c:pt>
                <c:pt idx="1">
                  <c:v>18413</c:v>
                </c:pt>
                <c:pt idx="2">
                  <c:v>73.2</c:v>
                </c:pt>
                <c:pt idx="3">
                  <c:v>1686.42</c:v>
                </c:pt>
                <c:pt idx="4">
                  <c:v>1485</c:v>
                </c:pt>
                <c:pt idx="5">
                  <c:v>1200</c:v>
                </c:pt>
                <c:pt idx="6">
                  <c:v>2042</c:v>
                </c:pt>
                <c:pt idx="7">
                  <c:v>304</c:v>
                </c:pt>
                <c:pt idx="8">
                  <c:v>2805.98</c:v>
                </c:pt>
                <c:pt idx="9">
                  <c:v>24</c:v>
                </c:pt>
              </c:numCache>
            </c:numRef>
          </c:val>
          <c:extLst>
            <c:ext xmlns:c16="http://schemas.microsoft.com/office/drawing/2014/chart" uri="{C3380CC4-5D6E-409C-BE32-E72D297353CC}">
              <c16:uniqueId val="{00000014-11D8-4F5D-BD85-5358AADA5E52}"/>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lumMod val="85000"/>
      </a:schemeClr>
    </a:solidFill>
    <a:ln w="19050" cap="flat" cmpd="sng" algn="ctr">
      <a:solidFill>
        <a:srgbClr val="7030A0"/>
      </a:solidFill>
      <a:round/>
    </a:ln>
    <a:effectLst/>
  </c:spPr>
  <c:txPr>
    <a:bodyPr/>
    <a:lstStyle/>
    <a:p>
      <a:pPr>
        <a:defRPr sz="900">
          <a:latin typeface="Book Antiqua" panose="02040602050305030304" pitchFamily="18" charset="0"/>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600" b="1" i="0" u="none" strike="noStrike" kern="1200" spc="100" baseline="0">
                <a:ln>
                  <a:noFill/>
                </a:ln>
                <a:solidFill>
                  <a:sysClr val="windowText" lastClr="000000"/>
                </a:solidFill>
                <a:effectLst/>
                <a:latin typeface="Book Antiqua" panose="02040602050305030304" pitchFamily="18" charset="0"/>
                <a:ea typeface="+mn-ea"/>
                <a:cs typeface="+mn-cs"/>
              </a:defRPr>
            </a:pPr>
            <a:r>
              <a:rPr lang="en-US" b="1">
                <a:ln>
                  <a:noFill/>
                </a:ln>
                <a:solidFill>
                  <a:sysClr val="windowText" lastClr="000000"/>
                </a:solidFill>
                <a:effectLst/>
                <a:latin typeface="Book Antiqua" panose="02040602050305030304" pitchFamily="18" charset="0"/>
              </a:rPr>
              <a:t>All India consumption of petroleum products</a:t>
            </a:r>
          </a:p>
        </c:rich>
      </c:tx>
      <c:layout>
        <c:manualLayout>
          <c:xMode val="edge"/>
          <c:yMode val="edge"/>
          <c:x val="0.14671270082855734"/>
          <c:y val="2.6824680201779239E-2"/>
        </c:manualLayout>
      </c:layout>
      <c:overlay val="0"/>
      <c:spPr>
        <a:noFill/>
        <a:ln>
          <a:noFill/>
        </a:ln>
        <a:effectLst/>
      </c:spPr>
      <c:txPr>
        <a:bodyPr rot="0" spcFirstLastPara="1" vertOverflow="ellipsis" vert="horz" wrap="square" anchor="ctr" anchorCtr="1"/>
        <a:lstStyle/>
        <a:p>
          <a:pPr>
            <a:defRPr sz="1600" b="1" i="0" u="none" strike="noStrike" kern="1200" spc="100" baseline="0">
              <a:ln>
                <a:noFill/>
              </a:ln>
              <a:solidFill>
                <a:sysClr val="windowText" lastClr="000000"/>
              </a:solidFill>
              <a:effectLst/>
              <a:latin typeface="Book Antiqua" panose="02040602050305030304" pitchFamily="18" charset="0"/>
              <a:ea typeface="+mn-ea"/>
              <a:cs typeface="+mn-cs"/>
            </a:defRPr>
          </a:pPr>
          <a:endParaRPr lang="en-US"/>
        </a:p>
      </c:txPr>
    </c:title>
    <c:autoTitleDeleted val="0"/>
    <c:plotArea>
      <c:layout>
        <c:manualLayout>
          <c:layoutTarget val="inner"/>
          <c:xMode val="edge"/>
          <c:yMode val="edge"/>
          <c:x val="9.9118036055777875E-2"/>
          <c:y val="0.10527620070040364"/>
          <c:w val="0.79724366398439861"/>
          <c:h val="0.65948607114228219"/>
        </c:manualLayout>
      </c:layout>
      <c:barChart>
        <c:barDir val="col"/>
        <c:grouping val="clustered"/>
        <c:varyColors val="0"/>
        <c:ser>
          <c:idx val="0"/>
          <c:order val="0"/>
          <c:tx>
            <c:strRef>
              <c:f>'6.1 chart'!$H$3</c:f>
              <c:strCache>
                <c:ptCount val="1"/>
                <c:pt idx="0">
                  <c:v>Consumption (MMT)</c:v>
                </c:pt>
              </c:strCache>
            </c:strRef>
          </c:tx>
          <c:spPr>
            <a:solidFill>
              <a:srgbClr val="9D3BFF"/>
            </a:solidFill>
            <a:ln>
              <a:noFill/>
            </a:ln>
            <a:effectLst>
              <a:glow rad="139700">
                <a:schemeClr val="accent1">
                  <a:satMod val="175000"/>
                  <a:alpha val="40000"/>
                </a:schemeClr>
              </a:glow>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0"/>
                  <c:y val="9.018569020576303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2B7-4DAE-8C1F-454F33926471}"/>
                </c:ext>
              </c:extLst>
            </c:dLbl>
            <c:dLbl>
              <c:idx val="1"/>
              <c:layout>
                <c:manualLayout>
                  <c:x val="-5.3436747905355417E-17"/>
                  <c:y val="-1.625433208880331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4A1-4764-9912-792653C6C731}"/>
                </c:ext>
              </c:extLst>
            </c:dLbl>
            <c:dLbl>
              <c:idx val="2"/>
              <c:layout>
                <c:manualLayout>
                  <c:x val="0"/>
                  <c:y val="5.41811069626775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4A1-4764-9912-792653C6C731}"/>
                </c:ext>
              </c:extLst>
            </c:dLbl>
            <c:dLbl>
              <c:idx val="5"/>
              <c:layout>
                <c:manualLayout>
                  <c:x val="0"/>
                  <c:y val="1.083622139253548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2B7-4DAE-8C1F-454F33926471}"/>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ysClr val="windowText" lastClr="000000"/>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'6.1 chart'!$G$4:$G$17</c:f>
              <c:strCache>
                <c:ptCount val="14"/>
                <c:pt idx="0">
                  <c:v>2012-13</c:v>
                </c:pt>
                <c:pt idx="1">
                  <c:v>2013-14</c:v>
                </c:pt>
                <c:pt idx="2">
                  <c:v>2014-15</c:v>
                </c:pt>
                <c:pt idx="3">
                  <c:v>2015-16  </c:v>
                </c:pt>
                <c:pt idx="4">
                  <c:v>2016-17 </c:v>
                </c:pt>
                <c:pt idx="5">
                  <c:v>2017-18 </c:v>
                </c:pt>
                <c:pt idx="6">
                  <c:v>2018-19</c:v>
                </c:pt>
                <c:pt idx="7">
                  <c:v>2019-20</c:v>
                </c:pt>
                <c:pt idx="8">
                  <c:v>2020-21 </c:v>
                </c:pt>
                <c:pt idx="9">
                  <c:v>2021-22 </c:v>
                </c:pt>
                <c:pt idx="10">
                  <c:v>2022-23</c:v>
                </c:pt>
                <c:pt idx="11">
                  <c:v>2023-24 </c:v>
                </c:pt>
                <c:pt idx="12">
                  <c:v>2024-25 </c:v>
                </c:pt>
                <c:pt idx="13">
                  <c:v>2025-26 </c:v>
                </c:pt>
              </c:strCache>
            </c:strRef>
          </c:cat>
          <c:val>
            <c:numRef>
              <c:f>'6.1 chart'!$H$4:$H$17</c:f>
              <c:numCache>
                <c:formatCode>0.0</c:formatCode>
                <c:ptCount val="14"/>
                <c:pt idx="0">
                  <c:v>157.0570219409868</c:v>
                </c:pt>
                <c:pt idx="1">
                  <c:v>158.40685351999804</c:v>
                </c:pt>
                <c:pt idx="2">
                  <c:v>165.52011813299228</c:v>
                </c:pt>
                <c:pt idx="3">
                  <c:v>184.67390277700176</c:v>
                </c:pt>
                <c:pt idx="4">
                  <c:v>194.59726743199673</c:v>
                </c:pt>
                <c:pt idx="5">
                  <c:v>206.16616683998814</c:v>
                </c:pt>
                <c:pt idx="6">
                  <c:v>213.21625920886623</c:v>
                </c:pt>
                <c:pt idx="7">
                  <c:v>214.12662644980693</c:v>
                </c:pt>
                <c:pt idx="8">
                  <c:v>194.29532182621546</c:v>
                </c:pt>
                <c:pt idx="9">
                  <c:v>201.69665773166869</c:v>
                </c:pt>
                <c:pt idx="10">
                  <c:v>223.00825949358247</c:v>
                </c:pt>
                <c:pt idx="11">
                  <c:v>234.25870406625387</c:v>
                </c:pt>
                <c:pt idx="12">
                  <c:v>239.22147676161072</c:v>
                </c:pt>
                <c:pt idx="13">
                  <c:v>243.2</c:v>
                </c:pt>
              </c:numCache>
            </c:numRef>
          </c:val>
          <c:extLst>
            <c:ext xmlns:c16="http://schemas.microsoft.com/office/drawing/2014/chart" uri="{C3380CC4-5D6E-409C-BE32-E72D297353CC}">
              <c16:uniqueId val="{00000004-44A1-4764-9912-792653C6C731}"/>
            </c:ext>
          </c:extLst>
        </c:ser>
        <c:dLbls>
          <c:showLegendKey val="0"/>
          <c:showVal val="0"/>
          <c:showCatName val="0"/>
          <c:showSerName val="0"/>
          <c:showPercent val="0"/>
          <c:showBubbleSize val="0"/>
        </c:dLbls>
        <c:gapWidth val="247"/>
        <c:axId val="151568800"/>
        <c:axId val="151570760"/>
      </c:barChart>
      <c:lineChart>
        <c:grouping val="standard"/>
        <c:varyColors val="0"/>
        <c:ser>
          <c:idx val="1"/>
          <c:order val="1"/>
          <c:tx>
            <c:strRef>
              <c:f>'6.1 chart'!$I$3</c:f>
              <c:strCache>
                <c:ptCount val="1"/>
                <c:pt idx="0">
                  <c:v>Growth (%)</c:v>
                </c:pt>
              </c:strCache>
            </c:strRef>
          </c:tx>
          <c:spPr>
            <a:ln w="34925" cap="rnd">
              <a:solidFill>
                <a:schemeClr val="accent1">
                  <a:shade val="76000"/>
                </a:schemeClr>
              </a:solidFill>
              <a:round/>
            </a:ln>
            <a:effectLst>
              <a:outerShdw blurRad="40000" dist="23000" dir="5400000" rotWithShape="0">
                <a:srgbClr val="000000">
                  <a:alpha val="35000"/>
                </a:srgbClr>
              </a:outerShdw>
            </a:effectLst>
          </c:spPr>
          <c:marker>
            <c:symbol val="none"/>
          </c:marker>
          <c:dLbls>
            <c:dLbl>
              <c:idx val="1"/>
              <c:layout>
                <c:manualLayout>
                  <c:x val="-2.2655071255685461E-2"/>
                  <c:y val="4.953518369635025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92B7-4DAE-8C1F-454F33926471}"/>
                </c:ext>
              </c:extLst>
            </c:dLbl>
            <c:dLbl>
              <c:idx val="2"/>
              <c:layout>
                <c:manualLayout>
                  <c:x val="-2.881894340598766E-2"/>
                  <c:y val="-0.1073659458360367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4A1-4764-9912-792653C6C731}"/>
                </c:ext>
              </c:extLst>
            </c:dLbl>
            <c:dLbl>
              <c:idx val="4"/>
              <c:layout>
                <c:manualLayout>
                  <c:x val="-2.2655071255685621E-2"/>
                  <c:y val="2.78627409112792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92B7-4DAE-8C1F-454F33926471}"/>
                </c:ext>
              </c:extLst>
            </c:dLbl>
            <c:dLbl>
              <c:idx val="5"/>
              <c:layout>
                <c:manualLayout>
                  <c:x val="-2.4112453943264438E-2"/>
                  <c:y val="4.41170730000825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44A1-4764-9912-792653C6C731}"/>
                </c:ext>
              </c:extLst>
            </c:dLbl>
            <c:dLbl>
              <c:idx val="10"/>
              <c:layout>
                <c:manualLayout>
                  <c:x val="-7.5396653568663846E-3"/>
                  <c:y val="9.8652396908008762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92B7-4DAE-8C1F-454F33926471}"/>
                </c:ext>
              </c:extLst>
            </c:dLbl>
            <c:spPr>
              <a:solidFill>
                <a:schemeClr val="tx2">
                  <a:lumMod val="20000"/>
                  <a:lumOff val="80000"/>
                </a:schemeClr>
              </a:solidFill>
              <a:ln>
                <a:noFill/>
              </a:ln>
              <a:effectLst>
                <a:glow rad="127000">
                  <a:schemeClr val="bg1"/>
                </a:glow>
              </a:effectLst>
            </c:spPr>
            <c:txPr>
              <a:bodyPr rot="0" spcFirstLastPara="1" vertOverflow="ellipsis" vert="horz" wrap="square" lIns="38100" tIns="19050" rIns="38100" bIns="19050" anchor="ctr" anchorCtr="1">
                <a:spAutoFit/>
              </a:bodyPr>
              <a:lstStyle/>
              <a:p>
                <a:pPr>
                  <a:defRPr sz="1100" b="1" i="0" u="none" strike="noStrike" kern="1200" baseline="0">
                    <a:solidFill>
                      <a:srgbClr val="0000FF"/>
                    </a:solidFill>
                    <a:latin typeface="+mn-lt"/>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'6.1 chart'!$G$4:$G$17</c:f>
              <c:strCache>
                <c:ptCount val="14"/>
                <c:pt idx="0">
                  <c:v>2012-13</c:v>
                </c:pt>
                <c:pt idx="1">
                  <c:v>2013-14</c:v>
                </c:pt>
                <c:pt idx="2">
                  <c:v>2014-15</c:v>
                </c:pt>
                <c:pt idx="3">
                  <c:v>2015-16  </c:v>
                </c:pt>
                <c:pt idx="4">
                  <c:v>2016-17 </c:v>
                </c:pt>
                <c:pt idx="5">
                  <c:v>2017-18 </c:v>
                </c:pt>
                <c:pt idx="6">
                  <c:v>2018-19</c:v>
                </c:pt>
                <c:pt idx="7">
                  <c:v>2019-20</c:v>
                </c:pt>
                <c:pt idx="8">
                  <c:v>2020-21 </c:v>
                </c:pt>
                <c:pt idx="9">
                  <c:v>2021-22 </c:v>
                </c:pt>
                <c:pt idx="10">
                  <c:v>2022-23</c:v>
                </c:pt>
                <c:pt idx="11">
                  <c:v>2023-24 </c:v>
                </c:pt>
                <c:pt idx="12">
                  <c:v>2024-25 </c:v>
                </c:pt>
                <c:pt idx="13">
                  <c:v>2025-26 </c:v>
                </c:pt>
              </c:strCache>
            </c:strRef>
          </c:cat>
          <c:val>
            <c:numRef>
              <c:f>'6.1 chart'!$I$4:$I$17</c:f>
              <c:numCache>
                <c:formatCode>0.0</c:formatCode>
                <c:ptCount val="14"/>
                <c:pt idx="0">
                  <c:v>6.1</c:v>
                </c:pt>
                <c:pt idx="1">
                  <c:v>0.9</c:v>
                </c:pt>
                <c:pt idx="2">
                  <c:v>4.5</c:v>
                </c:pt>
                <c:pt idx="3">
                  <c:v>11.6</c:v>
                </c:pt>
                <c:pt idx="4">
                  <c:v>5.4</c:v>
                </c:pt>
                <c:pt idx="5">
                  <c:v>5.9</c:v>
                </c:pt>
                <c:pt idx="6">
                  <c:v>3.4</c:v>
                </c:pt>
                <c:pt idx="7">
                  <c:v>0.4</c:v>
                </c:pt>
                <c:pt idx="8">
                  <c:v>-9.3000000000000007</c:v>
                </c:pt>
                <c:pt idx="9">
                  <c:v>3.8</c:v>
                </c:pt>
                <c:pt idx="10">
                  <c:v>10.6</c:v>
                </c:pt>
                <c:pt idx="11">
                  <c:v>5</c:v>
                </c:pt>
                <c:pt idx="12">
                  <c:v>2.1</c:v>
                </c:pt>
                <c:pt idx="13">
                  <c:v>1.7</c:v>
                </c:pt>
              </c:numCache>
            </c:numRef>
          </c:val>
          <c:smooth val="0"/>
          <c:extLst>
            <c:ext xmlns:c16="http://schemas.microsoft.com/office/drawing/2014/chart" uri="{C3380CC4-5D6E-409C-BE32-E72D297353CC}">
              <c16:uniqueId val="{0000000B-44A1-4764-9912-792653C6C731}"/>
            </c:ext>
          </c:extLst>
        </c:ser>
        <c:dLbls>
          <c:showLegendKey val="0"/>
          <c:showVal val="0"/>
          <c:showCatName val="0"/>
          <c:showSerName val="0"/>
          <c:showPercent val="0"/>
          <c:showBubbleSize val="0"/>
        </c:dLbls>
        <c:marker val="1"/>
        <c:smooth val="0"/>
        <c:axId val="151571152"/>
        <c:axId val="151569976"/>
      </c:lineChart>
      <c:catAx>
        <c:axId val="151568800"/>
        <c:scaling>
          <c:orientation val="minMax"/>
        </c:scaling>
        <c:delete val="0"/>
        <c:axPos val="b"/>
        <c:numFmt formatCode="General" sourceLinked="0"/>
        <c:majorTickMark val="none"/>
        <c:minorTickMark val="none"/>
        <c:tickLblPos val="nextTo"/>
        <c:spPr>
          <a:noFill/>
          <a:ln w="12700" cap="flat" cmpd="sng" algn="ctr">
            <a:solidFill>
              <a:schemeClr val="lt1">
                <a:lumMod val="95000"/>
                <a:alpha val="54000"/>
              </a:schemeClr>
            </a:solidFill>
            <a:round/>
          </a:ln>
          <a:effectLst/>
        </c:spPr>
        <c:txPr>
          <a:bodyPr rot="-2700000" spcFirstLastPara="1" vertOverflow="ellipsis" wrap="square" anchor="ctr" anchorCtr="1"/>
          <a:lstStyle/>
          <a:p>
            <a:pPr>
              <a:defRPr sz="1000" b="1" i="0" u="none" strike="noStrike" kern="1200" baseline="0">
                <a:solidFill>
                  <a:sysClr val="windowText" lastClr="000000"/>
                </a:solidFill>
                <a:latin typeface="Book Antiqua" panose="02040602050305030304" pitchFamily="18" charset="0"/>
                <a:ea typeface="+mn-ea"/>
                <a:cs typeface="+mn-cs"/>
              </a:defRPr>
            </a:pPr>
            <a:endParaRPr lang="en-US"/>
          </a:p>
        </c:txPr>
        <c:crossAx val="151570760"/>
        <c:crosses val="autoZero"/>
        <c:auto val="1"/>
        <c:lblAlgn val="ctr"/>
        <c:lblOffset val="100"/>
        <c:noMultiLvlLbl val="0"/>
      </c:catAx>
      <c:valAx>
        <c:axId val="151570760"/>
        <c:scaling>
          <c:orientation val="minMax"/>
        </c:scaling>
        <c:delete val="0"/>
        <c:axPos val="l"/>
        <c:majorGridlines>
          <c:spPr>
            <a:ln w="9525" cap="flat" cmpd="sng" algn="ctr">
              <a:solidFill>
                <a:schemeClr val="lt1">
                  <a:lumMod val="95000"/>
                  <a:alpha val="10000"/>
                </a:schemeClr>
              </a:solidFill>
              <a:round/>
            </a:ln>
            <a:effectLst/>
          </c:spPr>
        </c:majorGridlines>
        <c:title>
          <c:tx>
            <c:rich>
              <a:bodyPr rot="-5400000" spcFirstLastPara="1" vertOverflow="ellipsis" vert="horz" wrap="square" anchor="ctr" anchorCtr="1"/>
              <a:lstStyle/>
              <a:p>
                <a:pPr>
                  <a:defRPr sz="1200" b="1" i="0" u="none" strike="noStrike" kern="1200" cap="all" baseline="0">
                    <a:solidFill>
                      <a:schemeClr val="dk1"/>
                    </a:solidFill>
                    <a:latin typeface="Book Antiqua" panose="02040602050305030304" pitchFamily="18" charset="0"/>
                    <a:ea typeface="+mn-ea"/>
                    <a:cs typeface="+mn-cs"/>
                  </a:defRPr>
                </a:pPr>
                <a:r>
                  <a:rPr lang="en-US" sz="1200" cap="none" baseline="0">
                    <a:solidFill>
                      <a:schemeClr val="dk1"/>
                    </a:solidFill>
                    <a:latin typeface="Book Antiqua" panose="02040602050305030304" pitchFamily="18" charset="0"/>
                    <a:ea typeface="+mn-ea"/>
                    <a:cs typeface="+mn-cs"/>
                  </a:rPr>
                  <a:t>Quantity in MMT</a:t>
                </a:r>
                <a:endParaRPr lang="en-US" sz="1200">
                  <a:solidFill>
                    <a:sysClr val="windowText" lastClr="000000"/>
                  </a:solidFill>
                  <a:latin typeface="Book Antiqua" panose="02040602050305030304" pitchFamily="18" charset="0"/>
                </a:endParaRPr>
              </a:p>
            </c:rich>
          </c:tx>
          <c:layout>
            <c:manualLayout>
              <c:xMode val="edge"/>
              <c:yMode val="edge"/>
              <c:x val="1.3546673524393179E-2"/>
              <c:y val="0.35567869051584616"/>
            </c:manualLayout>
          </c:layout>
          <c:overlay val="0"/>
          <c:spPr>
            <a:noFill/>
            <a:ln w="25400" cap="flat" cmpd="sng" algn="ctr">
              <a:noFill/>
              <a:prstDash val="solid"/>
            </a:ln>
            <a:effectLst/>
          </c:spPr>
          <c:txPr>
            <a:bodyPr rot="-5400000" spcFirstLastPara="1" vertOverflow="ellipsis" vert="horz" wrap="square" anchor="ctr" anchorCtr="1"/>
            <a:lstStyle/>
            <a:p>
              <a:pPr>
                <a:defRPr sz="1200" b="1" i="0" u="none" strike="noStrike" kern="1200" cap="all" baseline="0">
                  <a:solidFill>
                    <a:schemeClr val="dk1"/>
                  </a:solidFill>
                  <a:latin typeface="Book Antiqua" panose="02040602050305030304" pitchFamily="18" charset="0"/>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1" i="0" u="none" strike="noStrike" kern="1200" baseline="0">
                <a:solidFill>
                  <a:sysClr val="windowText" lastClr="000000"/>
                </a:solidFill>
                <a:latin typeface="Book Antiqua" panose="02040602050305030304" pitchFamily="18" charset="0"/>
                <a:ea typeface="+mn-ea"/>
                <a:cs typeface="+mn-cs"/>
              </a:defRPr>
            </a:pPr>
            <a:endParaRPr lang="en-US"/>
          </a:p>
        </c:txPr>
        <c:crossAx val="151568800"/>
        <c:crosses val="autoZero"/>
        <c:crossBetween val="between"/>
      </c:valAx>
      <c:valAx>
        <c:axId val="151569976"/>
        <c:scaling>
          <c:orientation val="minMax"/>
        </c:scaling>
        <c:delete val="0"/>
        <c:axPos val="r"/>
        <c:title>
          <c:tx>
            <c:rich>
              <a:bodyPr rot="-5400000" spcFirstLastPara="1" vertOverflow="ellipsis" vert="horz" wrap="square" anchor="ctr" anchorCtr="1"/>
              <a:lstStyle/>
              <a:p>
                <a:pPr>
                  <a:defRPr sz="1200" b="1" i="0" u="none" strike="noStrike" kern="1200" cap="all" baseline="0">
                    <a:solidFill>
                      <a:schemeClr val="dk1"/>
                    </a:solidFill>
                    <a:latin typeface="Book Antiqua" panose="02040602050305030304" pitchFamily="18" charset="0"/>
                    <a:ea typeface="+mn-ea"/>
                    <a:cs typeface="+mn-cs"/>
                  </a:defRPr>
                </a:pPr>
                <a:r>
                  <a:rPr lang="en-US" sz="1200" cap="none" baseline="0">
                    <a:solidFill>
                      <a:schemeClr val="dk1"/>
                    </a:solidFill>
                    <a:effectLst/>
                    <a:latin typeface="Book Antiqua" panose="02040602050305030304" pitchFamily="18" charset="0"/>
                    <a:ea typeface="+mn-ea"/>
                    <a:cs typeface="+mn-cs"/>
                  </a:rPr>
                  <a:t>Growth in percentage</a:t>
                </a:r>
                <a:endParaRPr lang="en-US" sz="1200" cap="none" baseline="0">
                  <a:solidFill>
                    <a:sysClr val="windowText" lastClr="000000"/>
                  </a:solidFill>
                  <a:effectLst/>
                  <a:latin typeface="Book Antiqua" panose="02040602050305030304" pitchFamily="18" charset="0"/>
                </a:endParaRPr>
              </a:p>
            </c:rich>
          </c:tx>
          <c:layout>
            <c:manualLayout>
              <c:xMode val="edge"/>
              <c:yMode val="edge"/>
              <c:x val="0.92778197386501471"/>
              <c:y val="0.29412058198293212"/>
            </c:manualLayout>
          </c:layout>
          <c:overlay val="0"/>
          <c:spPr>
            <a:noFill/>
            <a:ln w="25400" cap="flat" cmpd="sng" algn="ctr">
              <a:noFill/>
              <a:prstDash val="solid"/>
            </a:ln>
            <a:effectLst/>
          </c:spPr>
          <c:txPr>
            <a:bodyPr rot="-5400000" spcFirstLastPara="1" vertOverflow="ellipsis" vert="horz" wrap="square" anchor="ctr" anchorCtr="1"/>
            <a:lstStyle/>
            <a:p>
              <a:pPr>
                <a:defRPr sz="1200" b="1" i="0" u="none" strike="noStrike" kern="1200" cap="all" baseline="0">
                  <a:solidFill>
                    <a:schemeClr val="dk1"/>
                  </a:solidFill>
                  <a:latin typeface="Book Antiqua" panose="02040602050305030304" pitchFamily="18" charset="0"/>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1100" b="1" i="0" u="none" strike="noStrike" kern="1200" baseline="0">
                <a:solidFill>
                  <a:sysClr val="windowText" lastClr="000000"/>
                </a:solidFill>
                <a:latin typeface="+mn-lt"/>
                <a:ea typeface="+mn-ea"/>
                <a:cs typeface="+mn-cs"/>
              </a:defRPr>
            </a:pPr>
            <a:endParaRPr lang="en-US"/>
          </a:p>
        </c:txPr>
        <c:crossAx val="151571152"/>
        <c:crosses val="max"/>
        <c:crossBetween val="between"/>
      </c:valAx>
      <c:catAx>
        <c:axId val="151571152"/>
        <c:scaling>
          <c:orientation val="minMax"/>
        </c:scaling>
        <c:delete val="1"/>
        <c:axPos val="b"/>
        <c:numFmt formatCode="General" sourceLinked="1"/>
        <c:majorTickMark val="none"/>
        <c:minorTickMark val="none"/>
        <c:tickLblPos val="nextTo"/>
        <c:crossAx val="151569976"/>
        <c:crosses val="autoZero"/>
        <c:auto val="1"/>
        <c:lblAlgn val="ctr"/>
        <c:lblOffset val="100"/>
        <c:noMultiLvlLbl val="0"/>
      </c:catAx>
      <c:spPr>
        <a:noFill/>
        <a:ln>
          <a:noFill/>
        </a:ln>
        <a:effectLst>
          <a:glow rad="139700">
            <a:schemeClr val="accent6">
              <a:satMod val="175000"/>
              <a:alpha val="40000"/>
            </a:schemeClr>
          </a:glow>
        </a:effectLst>
      </c:spPr>
    </c:plotArea>
    <c:legend>
      <c:legendPos val="b"/>
      <c:layout>
        <c:manualLayout>
          <c:xMode val="edge"/>
          <c:yMode val="edge"/>
          <c:x val="0.34176988671069708"/>
          <c:y val="0.91052036332313824"/>
          <c:w val="0.31056127852809196"/>
          <c:h val="5.4876251045545422E-2"/>
        </c:manualLayout>
      </c:layout>
      <c:overlay val="0"/>
      <c:spPr>
        <a:noFill/>
        <a:ln>
          <a:noFill/>
        </a:ln>
        <a:effectLst/>
      </c:spPr>
      <c:txPr>
        <a:bodyPr rot="0" spcFirstLastPara="1" vertOverflow="ellipsis" vert="horz" wrap="square" anchor="ctr" anchorCtr="1"/>
        <a:lstStyle/>
        <a:p>
          <a:pPr>
            <a:defRPr sz="1200" b="1" i="0" u="none" strike="noStrike" kern="1200" baseline="0">
              <a:solidFill>
                <a:sysClr val="windowText" lastClr="000000"/>
              </a:solidFill>
              <a:latin typeface="+mn-lt"/>
              <a:ea typeface="+mn-ea"/>
              <a:cs typeface="+mn-cs"/>
            </a:defRPr>
          </a:pPr>
          <a:endParaRPr lang="en-US"/>
        </a:p>
      </c:txPr>
    </c:legend>
    <c:plotVisOnly val="1"/>
    <c:dispBlanksAs val="gap"/>
    <c:showDLblsOverMax val="0"/>
  </c:chart>
  <c:spPr>
    <a:solidFill>
      <a:srgbClr val="C1A4F6"/>
    </a:solidFill>
    <a:ln>
      <a:noFill/>
    </a:ln>
    <a:effectLst>
      <a:glow rad="63500">
        <a:schemeClr val="accent5">
          <a:satMod val="175000"/>
          <a:alpha val="40000"/>
        </a:schemeClr>
      </a:glow>
    </a:effectLst>
  </c:spPr>
  <c:txPr>
    <a:bodyPr/>
    <a:lstStyle/>
    <a:p>
      <a:pPr>
        <a:defRPr/>
      </a:pPr>
      <a:endParaRPr lang="en-US"/>
    </a:p>
  </c:txPr>
  <c:printSettings>
    <c:headerFooter/>
    <c:pageMargins b="0.75" l="0.7" r="0.7" t="0.75" header="0.3" footer="0.3"/>
    <c:pageSetup orientation="portrait"/>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600" b="1" i="0" u="none" strike="noStrike" kern="1200" spc="100" baseline="0">
                <a:solidFill>
                  <a:schemeClr val="dk1"/>
                </a:solidFill>
                <a:effectLst>
                  <a:outerShdw blurRad="50800" dist="38100" dir="5400000" algn="t" rotWithShape="0">
                    <a:prstClr val="black">
                      <a:alpha val="40000"/>
                    </a:prstClr>
                  </a:outerShdw>
                </a:effectLst>
                <a:latin typeface="+mn-lt"/>
                <a:ea typeface="+mn-ea"/>
                <a:cs typeface="+mn-cs"/>
              </a:defRPr>
            </a:pPr>
            <a:r>
              <a:rPr lang="en-US"/>
              <a:t>All India consumption of petroleum products</a:t>
            </a:r>
          </a:p>
        </c:rich>
      </c:tx>
      <c:layout>
        <c:manualLayout>
          <c:xMode val="edge"/>
          <c:yMode val="edge"/>
          <c:x val="0.27915458991694808"/>
          <c:y val="2.2129861718631159E-2"/>
        </c:manualLayout>
      </c:layout>
      <c:overlay val="0"/>
      <c:spPr>
        <a:noFill/>
        <a:ln>
          <a:noFill/>
        </a:ln>
        <a:effectLst/>
      </c:spPr>
      <c:txPr>
        <a:bodyPr rot="0" spcFirstLastPara="1" vertOverflow="ellipsis" vert="horz" wrap="square" anchor="ctr" anchorCtr="1"/>
        <a:lstStyle/>
        <a:p>
          <a:pPr>
            <a:defRPr sz="1600" b="1" i="0" u="none" strike="noStrike" kern="1200" spc="100" baseline="0">
              <a:solidFill>
                <a:schemeClr val="dk1"/>
              </a:solidFill>
              <a:effectLst>
                <a:outerShdw blurRad="50800" dist="38100" dir="5400000" algn="t" rotWithShape="0">
                  <a:prstClr val="black">
                    <a:alpha val="40000"/>
                  </a:prstClr>
                </a:outerShdw>
              </a:effectLst>
              <a:latin typeface="+mn-lt"/>
              <a:ea typeface="+mn-ea"/>
              <a:cs typeface="+mn-cs"/>
            </a:defRPr>
          </a:pPr>
          <a:endParaRPr lang="en-US"/>
        </a:p>
      </c:txPr>
    </c:title>
    <c:autoTitleDeleted val="0"/>
    <c:plotArea>
      <c:layout>
        <c:manualLayout>
          <c:layoutTarget val="inner"/>
          <c:xMode val="edge"/>
          <c:yMode val="edge"/>
          <c:x val="9.9118036055777875E-2"/>
          <c:y val="0.10527620070040364"/>
          <c:w val="0.79724366398439861"/>
          <c:h val="0.65948607114228219"/>
        </c:manualLayout>
      </c:layout>
      <c:barChart>
        <c:barDir val="col"/>
        <c:grouping val="clustered"/>
        <c:varyColors val="0"/>
        <c:ser>
          <c:idx val="0"/>
          <c:order val="0"/>
          <c:tx>
            <c:strRef>
              <c:f>'6.1 chart'!$H$3</c:f>
              <c:strCache>
                <c:ptCount val="1"/>
                <c:pt idx="0">
                  <c:v>Consumption (MMT)</c:v>
                </c:pt>
              </c:strCache>
            </c:strRef>
          </c:tx>
          <c:spPr>
            <a:solidFill>
              <a:srgbClr val="9D3BFF"/>
            </a:solidFill>
            <a:ln>
              <a:noFill/>
            </a:ln>
            <a:effectLst>
              <a:glow rad="139700">
                <a:schemeClr val="accent1">
                  <a:satMod val="175000"/>
                  <a:alpha val="40000"/>
                </a:schemeClr>
              </a:glow>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3"/>
              <c:layout>
                <c:manualLayout>
                  <c:x val="0"/>
                  <c:y val="5.41811069626775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9DE-47A8-BA18-1E035BE45599}"/>
                </c:ext>
              </c:extLst>
            </c:dLbl>
            <c:dLbl>
              <c:idx val="4"/>
              <c:layout>
                <c:manualLayout>
                  <c:x val="-1.7801997928840668E-2"/>
                  <c:y val="1.159708476683645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EA2A-4CCC-A9EA-894E8E842E9C}"/>
                </c:ext>
              </c:extLst>
            </c:dLbl>
            <c:dLbl>
              <c:idx val="10"/>
              <c:layout>
                <c:manualLayout>
                  <c:x val="6.3578564031573819E-3"/>
                  <c:y val="1.159708476683650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A2A-4CCC-A9EA-894E8E842E9C}"/>
                </c:ext>
              </c:extLst>
            </c:dLbl>
            <c:dLbl>
              <c:idx val="13"/>
              <c:tx>
                <c:rich>
                  <a:bodyPr/>
                  <a:lstStyle/>
                  <a:p>
                    <a:r>
                      <a:rPr lang="en-US"/>
                      <a:t>241.6</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0-EA2A-4CCC-A9EA-894E8E842E9C}"/>
                </c:ext>
              </c:extLst>
            </c:dLbl>
            <c:numFmt formatCode="#,##0.0" sourceLinked="0"/>
            <c:spPr>
              <a:noFill/>
              <a:ln>
                <a:noFill/>
              </a:ln>
              <a:effectLst/>
            </c:spPr>
            <c:txPr>
              <a:bodyPr rot="0" spcFirstLastPara="1" vertOverflow="ellipsis" vert="horz" wrap="square" anchor="ctr" anchorCtr="1"/>
              <a:lstStyle/>
              <a:p>
                <a:pPr>
                  <a:defRPr sz="1200" b="0" i="0" u="none" strike="noStrike" kern="1200" baseline="0">
                    <a:solidFill>
                      <a:schemeClr val="dk1"/>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'6.1 chart'!$G$4:$G$17</c:f>
              <c:strCache>
                <c:ptCount val="14"/>
                <c:pt idx="0">
                  <c:v>2012-13</c:v>
                </c:pt>
                <c:pt idx="1">
                  <c:v>2013-14</c:v>
                </c:pt>
                <c:pt idx="2">
                  <c:v>2014-15</c:v>
                </c:pt>
                <c:pt idx="3">
                  <c:v>2015-16  </c:v>
                </c:pt>
                <c:pt idx="4">
                  <c:v>2016-17 </c:v>
                </c:pt>
                <c:pt idx="5">
                  <c:v>2017-18 </c:v>
                </c:pt>
                <c:pt idx="6">
                  <c:v>2018-19</c:v>
                </c:pt>
                <c:pt idx="7">
                  <c:v>2019-20</c:v>
                </c:pt>
                <c:pt idx="8">
                  <c:v>2020-21 </c:v>
                </c:pt>
                <c:pt idx="9">
                  <c:v>2021-22 </c:v>
                </c:pt>
                <c:pt idx="10">
                  <c:v>2022-23</c:v>
                </c:pt>
                <c:pt idx="11">
                  <c:v>2023-24 </c:v>
                </c:pt>
                <c:pt idx="12">
                  <c:v>2024-25 </c:v>
                </c:pt>
                <c:pt idx="13">
                  <c:v>2025-26 </c:v>
                </c:pt>
              </c:strCache>
            </c:strRef>
          </c:cat>
          <c:val>
            <c:numRef>
              <c:f>'6.1 chart'!$H$4:$H$17</c:f>
              <c:numCache>
                <c:formatCode>0.0</c:formatCode>
                <c:ptCount val="14"/>
                <c:pt idx="0">
                  <c:v>157.0570219409868</c:v>
                </c:pt>
                <c:pt idx="1">
                  <c:v>158.40685351999804</c:v>
                </c:pt>
                <c:pt idx="2">
                  <c:v>165.52011813299228</c:v>
                </c:pt>
                <c:pt idx="3">
                  <c:v>184.67390277700176</c:v>
                </c:pt>
                <c:pt idx="4">
                  <c:v>194.59726743199673</c:v>
                </c:pt>
                <c:pt idx="5">
                  <c:v>206.16616683998814</c:v>
                </c:pt>
                <c:pt idx="6">
                  <c:v>213.21625920886623</c:v>
                </c:pt>
                <c:pt idx="7">
                  <c:v>214.12662644980693</c:v>
                </c:pt>
                <c:pt idx="8">
                  <c:v>194.29532182621546</c:v>
                </c:pt>
                <c:pt idx="9">
                  <c:v>201.69665773166869</c:v>
                </c:pt>
                <c:pt idx="10">
                  <c:v>223.00825949358247</c:v>
                </c:pt>
                <c:pt idx="11">
                  <c:v>234.25870406625387</c:v>
                </c:pt>
                <c:pt idx="12">
                  <c:v>239.22147676161072</c:v>
                </c:pt>
                <c:pt idx="13">
                  <c:v>243.2</c:v>
                </c:pt>
              </c:numCache>
            </c:numRef>
          </c:val>
          <c:extLst>
            <c:ext xmlns:c16="http://schemas.microsoft.com/office/drawing/2014/chart" uri="{C3380CC4-5D6E-409C-BE32-E72D297353CC}">
              <c16:uniqueId val="{00000001-485A-4C4D-B152-2A540C87FD50}"/>
            </c:ext>
          </c:extLst>
        </c:ser>
        <c:dLbls>
          <c:showLegendKey val="0"/>
          <c:showVal val="0"/>
          <c:showCatName val="0"/>
          <c:showSerName val="0"/>
          <c:showPercent val="0"/>
          <c:showBubbleSize val="0"/>
        </c:dLbls>
        <c:gapWidth val="247"/>
        <c:axId val="151568800"/>
        <c:axId val="151570760"/>
      </c:barChart>
      <c:lineChart>
        <c:grouping val="standard"/>
        <c:varyColors val="0"/>
        <c:ser>
          <c:idx val="1"/>
          <c:order val="1"/>
          <c:tx>
            <c:strRef>
              <c:f>'6.1 chart'!$I$3</c:f>
              <c:strCache>
                <c:ptCount val="1"/>
                <c:pt idx="0">
                  <c:v>Growth (%)</c:v>
                </c:pt>
              </c:strCache>
            </c:strRef>
          </c:tx>
          <c:spPr>
            <a:ln w="34925" cap="rnd">
              <a:solidFill>
                <a:schemeClr val="accent1">
                  <a:shade val="76000"/>
                </a:schemeClr>
              </a:solidFill>
              <a:round/>
            </a:ln>
            <a:effectLst>
              <a:outerShdw blurRad="40000" dist="23000" dir="5400000" rotWithShape="0">
                <a:srgbClr val="000000">
                  <a:alpha val="35000"/>
                </a:srgbClr>
              </a:outerShdw>
            </a:effectLst>
          </c:spPr>
          <c:marker>
            <c:symbol val="none"/>
          </c:marker>
          <c:dLbls>
            <c:dLbl>
              <c:idx val="9"/>
              <c:layout>
                <c:manualLayout>
                  <c:x val="-3.1884399552527059E-3"/>
                  <c:y val="-8.6165426661314777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A2A-4CCC-A9EA-894E8E842E9C}"/>
                </c:ext>
              </c:extLst>
            </c:dLbl>
            <c:dLbl>
              <c:idx val="13"/>
              <c:tx>
                <c:rich>
                  <a:bodyPr/>
                  <a:lstStyle/>
                  <a:p>
                    <a:r>
                      <a:rPr lang="en-US"/>
                      <a:t>1.0</a:t>
                    </a:r>
                  </a:p>
                </c:rich>
              </c:tx>
              <c:dLblPos val="t"/>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EA2A-4CCC-A9EA-894E8E842E9C}"/>
                </c:ext>
              </c:extLst>
            </c:dLbl>
            <c:numFmt formatCode="General" sourceLinked="0"/>
            <c:spPr>
              <a:solidFill>
                <a:schemeClr val="tx2">
                  <a:lumMod val="20000"/>
                  <a:lumOff val="80000"/>
                </a:schemeClr>
              </a:solidFill>
              <a:ln>
                <a:noFill/>
              </a:ln>
              <a:effectLst>
                <a:glow rad="127000">
                  <a:schemeClr val="bg1"/>
                </a:glow>
              </a:effectLst>
            </c:spPr>
            <c:txPr>
              <a:bodyPr rot="0" spcFirstLastPara="1" vertOverflow="ellipsis" vert="horz" wrap="square" anchor="ctr" anchorCtr="1"/>
              <a:lstStyle/>
              <a:p>
                <a:pPr>
                  <a:defRPr sz="1100" b="0" i="0" u="none" strike="noStrike" kern="1200" baseline="0">
                    <a:solidFill>
                      <a:schemeClr val="dk1"/>
                    </a:solidFill>
                    <a:latin typeface="+mn-lt"/>
                    <a:ea typeface="+mn-ea"/>
                    <a:cs typeface="+mn-cs"/>
                  </a:defRPr>
                </a:pPr>
                <a:endParaRPr lang="en-US"/>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'6.1 chart'!$G$4:$G$17</c:f>
              <c:strCache>
                <c:ptCount val="14"/>
                <c:pt idx="0">
                  <c:v>2012-13</c:v>
                </c:pt>
                <c:pt idx="1">
                  <c:v>2013-14</c:v>
                </c:pt>
                <c:pt idx="2">
                  <c:v>2014-15</c:v>
                </c:pt>
                <c:pt idx="3">
                  <c:v>2015-16  </c:v>
                </c:pt>
                <c:pt idx="4">
                  <c:v>2016-17 </c:v>
                </c:pt>
                <c:pt idx="5">
                  <c:v>2017-18 </c:v>
                </c:pt>
                <c:pt idx="6">
                  <c:v>2018-19</c:v>
                </c:pt>
                <c:pt idx="7">
                  <c:v>2019-20</c:v>
                </c:pt>
                <c:pt idx="8">
                  <c:v>2020-21 </c:v>
                </c:pt>
                <c:pt idx="9">
                  <c:v>2021-22 </c:v>
                </c:pt>
                <c:pt idx="10">
                  <c:v>2022-23</c:v>
                </c:pt>
                <c:pt idx="11">
                  <c:v>2023-24 </c:v>
                </c:pt>
                <c:pt idx="12">
                  <c:v>2024-25 </c:v>
                </c:pt>
                <c:pt idx="13">
                  <c:v>2025-26 </c:v>
                </c:pt>
              </c:strCache>
            </c:strRef>
          </c:cat>
          <c:val>
            <c:numRef>
              <c:f>'6.1 chart'!$I$4:$I$17</c:f>
              <c:numCache>
                <c:formatCode>0.0</c:formatCode>
                <c:ptCount val="14"/>
                <c:pt idx="0">
                  <c:v>6.1</c:v>
                </c:pt>
                <c:pt idx="1">
                  <c:v>0.9</c:v>
                </c:pt>
                <c:pt idx="2">
                  <c:v>4.5</c:v>
                </c:pt>
                <c:pt idx="3">
                  <c:v>11.6</c:v>
                </c:pt>
                <c:pt idx="4">
                  <c:v>5.4</c:v>
                </c:pt>
                <c:pt idx="5">
                  <c:v>5.9</c:v>
                </c:pt>
                <c:pt idx="6">
                  <c:v>3.4</c:v>
                </c:pt>
                <c:pt idx="7">
                  <c:v>0.4</c:v>
                </c:pt>
                <c:pt idx="8">
                  <c:v>-9.3000000000000007</c:v>
                </c:pt>
                <c:pt idx="9">
                  <c:v>3.8</c:v>
                </c:pt>
                <c:pt idx="10">
                  <c:v>10.6</c:v>
                </c:pt>
                <c:pt idx="11">
                  <c:v>5</c:v>
                </c:pt>
                <c:pt idx="12">
                  <c:v>2.1</c:v>
                </c:pt>
                <c:pt idx="13">
                  <c:v>1.7</c:v>
                </c:pt>
              </c:numCache>
            </c:numRef>
          </c:val>
          <c:smooth val="0"/>
          <c:extLst>
            <c:ext xmlns:c16="http://schemas.microsoft.com/office/drawing/2014/chart" uri="{C3380CC4-5D6E-409C-BE32-E72D297353CC}">
              <c16:uniqueId val="{00000002-485A-4C4D-B152-2A540C87FD50}"/>
            </c:ext>
          </c:extLst>
        </c:ser>
        <c:dLbls>
          <c:showLegendKey val="0"/>
          <c:showVal val="0"/>
          <c:showCatName val="0"/>
          <c:showSerName val="0"/>
          <c:showPercent val="0"/>
          <c:showBubbleSize val="0"/>
        </c:dLbls>
        <c:marker val="1"/>
        <c:smooth val="0"/>
        <c:axId val="151571152"/>
        <c:axId val="151569976"/>
      </c:lineChart>
      <c:catAx>
        <c:axId val="151568800"/>
        <c:scaling>
          <c:orientation val="minMax"/>
        </c:scaling>
        <c:delete val="0"/>
        <c:axPos val="b"/>
        <c:numFmt formatCode="General" sourceLinked="0"/>
        <c:majorTickMark val="none"/>
        <c:minorTickMark val="none"/>
        <c:tickLblPos val="nextTo"/>
        <c:spPr>
          <a:noFill/>
          <a:ln w="12700" cap="flat" cmpd="sng" algn="ctr">
            <a:solidFill>
              <a:schemeClr val="lt1">
                <a:lumMod val="95000"/>
                <a:alpha val="54000"/>
              </a:schemeClr>
            </a:solidFill>
            <a:round/>
          </a:ln>
          <a:effectLst/>
        </c:spPr>
        <c:txPr>
          <a:bodyPr rot="-2700000" spcFirstLastPara="1" vertOverflow="ellipsis" wrap="square" anchor="ctr" anchorCtr="1"/>
          <a:lstStyle/>
          <a:p>
            <a:pPr>
              <a:defRPr sz="1100" b="0" i="0" u="none" strike="noStrike" kern="1200" baseline="0">
                <a:solidFill>
                  <a:schemeClr val="dk1"/>
                </a:solidFill>
                <a:latin typeface="+mn-lt"/>
                <a:ea typeface="+mn-ea"/>
                <a:cs typeface="+mn-cs"/>
              </a:defRPr>
            </a:pPr>
            <a:endParaRPr lang="en-US"/>
          </a:p>
        </c:txPr>
        <c:crossAx val="151570760"/>
        <c:crosses val="autoZero"/>
        <c:auto val="1"/>
        <c:lblAlgn val="ctr"/>
        <c:lblOffset val="100"/>
        <c:noMultiLvlLbl val="0"/>
      </c:catAx>
      <c:valAx>
        <c:axId val="151570760"/>
        <c:scaling>
          <c:orientation val="minMax"/>
        </c:scaling>
        <c:delete val="0"/>
        <c:axPos val="l"/>
        <c:majorGridlines>
          <c:spPr>
            <a:ln w="9525" cap="flat" cmpd="sng" algn="ctr">
              <a:solidFill>
                <a:schemeClr val="lt1">
                  <a:lumMod val="95000"/>
                  <a:alpha val="10000"/>
                </a:schemeClr>
              </a:solidFill>
              <a:round/>
            </a:ln>
            <a:effectLst/>
          </c:spPr>
        </c:majorGridlines>
        <c:title>
          <c:tx>
            <c:rich>
              <a:bodyPr rot="-5400000" spcFirstLastPara="1" vertOverflow="ellipsis" vert="horz" wrap="square" anchor="ctr" anchorCtr="1"/>
              <a:lstStyle/>
              <a:p>
                <a:pPr>
                  <a:defRPr sz="900" b="1" i="0" u="none" strike="noStrike" kern="1200" cap="all" baseline="0">
                    <a:solidFill>
                      <a:schemeClr val="dk1"/>
                    </a:solidFill>
                    <a:latin typeface="+mn-lt"/>
                    <a:ea typeface="+mn-ea"/>
                    <a:cs typeface="+mn-cs"/>
                  </a:defRPr>
                </a:pPr>
                <a:r>
                  <a:rPr lang="en-US"/>
                  <a:t>Quantity in MMT</a:t>
                </a:r>
              </a:p>
            </c:rich>
          </c:tx>
          <c:layout>
            <c:manualLayout>
              <c:xMode val="edge"/>
              <c:yMode val="edge"/>
              <c:x val="1.3546673524393179E-2"/>
              <c:y val="0.35567869051584616"/>
            </c:manualLayout>
          </c:layout>
          <c:overlay val="0"/>
          <c:spPr>
            <a:noFill/>
            <a:ln w="25400" cap="flat" cmpd="sng" algn="ctr">
              <a:noFill/>
              <a:prstDash val="solid"/>
            </a:ln>
            <a:effectLst/>
          </c:spPr>
          <c:txPr>
            <a:bodyPr rot="-5400000" spcFirstLastPara="1" vertOverflow="ellipsis" vert="horz" wrap="square" anchor="ctr" anchorCtr="1"/>
            <a:lstStyle/>
            <a:p>
              <a:pPr>
                <a:defRPr sz="900" b="1" i="0" u="none" strike="noStrike" kern="1200" cap="all" baseline="0">
                  <a:solidFill>
                    <a:schemeClr val="dk1"/>
                  </a:solidFill>
                  <a:latin typeface="+mn-lt"/>
                  <a:ea typeface="+mn-ea"/>
                  <a:cs typeface="+mn-cs"/>
                </a:defRPr>
              </a:pPr>
              <a:endParaRPr lang="en-US"/>
            </a:p>
          </c:txPr>
        </c:title>
        <c:numFmt formatCode="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solidFill>
                <a:latin typeface="+mn-lt"/>
                <a:ea typeface="+mn-ea"/>
                <a:cs typeface="+mn-cs"/>
              </a:defRPr>
            </a:pPr>
            <a:endParaRPr lang="en-US"/>
          </a:p>
        </c:txPr>
        <c:crossAx val="151568800"/>
        <c:crosses val="autoZero"/>
        <c:crossBetween val="between"/>
      </c:valAx>
      <c:valAx>
        <c:axId val="151569976"/>
        <c:scaling>
          <c:orientation val="minMax"/>
        </c:scaling>
        <c:delete val="0"/>
        <c:axPos val="r"/>
        <c:title>
          <c:tx>
            <c:rich>
              <a:bodyPr rot="-5400000" spcFirstLastPara="1" vertOverflow="ellipsis" vert="horz" wrap="square" anchor="ctr" anchorCtr="1"/>
              <a:lstStyle/>
              <a:p>
                <a:pPr>
                  <a:defRPr sz="900" b="1" i="0" u="none" strike="noStrike" kern="1200" cap="all" baseline="0">
                    <a:solidFill>
                      <a:schemeClr val="dk1"/>
                    </a:solidFill>
                    <a:latin typeface="+mn-lt"/>
                    <a:ea typeface="+mn-ea"/>
                    <a:cs typeface="+mn-cs"/>
                  </a:defRPr>
                </a:pPr>
                <a:r>
                  <a:rPr lang="en-US"/>
                  <a:t>Growth in percentage</a:t>
                </a:r>
              </a:p>
            </c:rich>
          </c:tx>
          <c:layout>
            <c:manualLayout>
              <c:xMode val="edge"/>
              <c:yMode val="edge"/>
              <c:x val="0.92778197386501471"/>
              <c:y val="0.29412058198293212"/>
            </c:manualLayout>
          </c:layout>
          <c:overlay val="0"/>
          <c:spPr>
            <a:noFill/>
            <a:ln w="25400" cap="flat" cmpd="sng" algn="ctr">
              <a:noFill/>
              <a:prstDash val="solid"/>
            </a:ln>
            <a:effectLst/>
          </c:spPr>
          <c:txPr>
            <a:bodyPr rot="-5400000" spcFirstLastPara="1" vertOverflow="ellipsis" vert="horz" wrap="square" anchor="ctr" anchorCtr="1"/>
            <a:lstStyle/>
            <a:p>
              <a:pPr>
                <a:defRPr sz="900" b="1" i="0" u="none" strike="noStrike" kern="1200" cap="all" baseline="0">
                  <a:solidFill>
                    <a:schemeClr val="dk1"/>
                  </a:solidFill>
                  <a:latin typeface="+mn-lt"/>
                  <a:ea typeface="+mn-ea"/>
                  <a:cs typeface="+mn-cs"/>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dk1"/>
                </a:solidFill>
                <a:latin typeface="+mn-lt"/>
                <a:ea typeface="+mn-ea"/>
                <a:cs typeface="+mn-cs"/>
              </a:defRPr>
            </a:pPr>
            <a:endParaRPr lang="en-US"/>
          </a:p>
        </c:txPr>
        <c:crossAx val="151571152"/>
        <c:crosses val="max"/>
        <c:crossBetween val="between"/>
      </c:valAx>
      <c:catAx>
        <c:axId val="151571152"/>
        <c:scaling>
          <c:orientation val="minMax"/>
        </c:scaling>
        <c:delete val="1"/>
        <c:axPos val="b"/>
        <c:numFmt formatCode="General" sourceLinked="1"/>
        <c:majorTickMark val="none"/>
        <c:minorTickMark val="none"/>
        <c:tickLblPos val="nextTo"/>
        <c:crossAx val="151569976"/>
        <c:crosses val="autoZero"/>
        <c:auto val="1"/>
        <c:lblAlgn val="ctr"/>
        <c:lblOffset val="100"/>
        <c:noMultiLvlLbl val="0"/>
      </c:catAx>
      <c:spPr>
        <a:noFill/>
        <a:ln>
          <a:noFill/>
        </a:ln>
        <a:effectLst>
          <a:glow rad="139700">
            <a:schemeClr val="accent6">
              <a:satMod val="175000"/>
              <a:alpha val="40000"/>
            </a:schemeClr>
          </a:glow>
        </a:effectLst>
      </c:spPr>
    </c:plotArea>
    <c:legend>
      <c:legendPos val="b"/>
      <c:layout>
        <c:manualLayout>
          <c:xMode val="edge"/>
          <c:yMode val="edge"/>
          <c:x val="0.34176988671069708"/>
          <c:y val="0.91052036332313824"/>
          <c:w val="0.31056127852809196"/>
          <c:h val="5.4876251045545422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dk1"/>
              </a:solidFill>
              <a:latin typeface="+mn-lt"/>
              <a:ea typeface="+mn-ea"/>
              <a:cs typeface="+mn-cs"/>
            </a:defRPr>
          </a:pPr>
          <a:endParaRPr lang="en-US"/>
        </a:p>
      </c:txPr>
    </c:legend>
    <c:plotVisOnly val="1"/>
    <c:dispBlanksAs val="gap"/>
    <c:showDLblsOverMax val="0"/>
  </c:chart>
  <c:spPr>
    <a:solidFill>
      <a:srgbClr val="F5E0B5"/>
    </a:solidFill>
    <a:ln w="19050" cap="flat" cmpd="sng" algn="ctr">
      <a:solidFill>
        <a:schemeClr val="dk1"/>
      </a:solidFill>
      <a:prstDash val="solid"/>
      <a:miter lim="800000"/>
    </a:ln>
    <a:effectLst/>
  </c:spPr>
  <c:txPr>
    <a:bodyPr/>
    <a:lstStyle/>
    <a:p>
      <a:pPr>
        <a:defRPr>
          <a:solidFill>
            <a:schemeClr val="dk1"/>
          </a:solidFill>
          <a:latin typeface="+mn-lt"/>
          <a:ea typeface="+mn-ea"/>
          <a:cs typeface="+mn-cs"/>
        </a:defRPr>
      </a:pPr>
      <a:endParaRPr lang="en-US"/>
    </a:p>
  </c:txPr>
  <c:printSettings>
    <c:headerFooter/>
    <c:pageMargins b="0.75" l="0.7" r="0.7" t="0.75" header="0.3" footer="0.3"/>
    <c:pageSetup orientation="portrait"/>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5434011047126566E-2"/>
          <c:y val="8.0031982544709515E-2"/>
          <c:w val="0.8296571668032906"/>
          <c:h val="0.67489177574670789"/>
        </c:manualLayout>
      </c:layout>
      <c:barChart>
        <c:barDir val="col"/>
        <c:grouping val="clustered"/>
        <c:varyColors val="0"/>
        <c:ser>
          <c:idx val="0"/>
          <c:order val="0"/>
          <c:tx>
            <c:strRef>
              <c:f>'6.2'!$AQ$4</c:f>
              <c:strCache>
                <c:ptCount val="1"/>
                <c:pt idx="0">
                  <c:v>2024-25 </c:v>
                </c:pt>
              </c:strCache>
            </c:strRef>
          </c:tx>
          <c:spPr>
            <a:gradFill rotWithShape="1">
              <a:gsLst>
                <a:gs pos="0">
                  <a:schemeClr val="accent1">
                    <a:satMod val="103000"/>
                    <a:lumMod val="102000"/>
                    <a:tint val="94000"/>
                  </a:schemeClr>
                </a:gs>
                <a:gs pos="50000">
                  <a:schemeClr val="accent1">
                    <a:satMod val="110000"/>
                    <a:lumMod val="100000"/>
                    <a:shade val="100000"/>
                  </a:schemeClr>
                </a:gs>
                <a:gs pos="100000">
                  <a:schemeClr val="accent1">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numFmt formatCode="#,##0.0" sourceLinked="0"/>
            <c:spPr>
              <a:noFill/>
              <a:ln>
                <a:noFill/>
              </a:ln>
              <a:effectLst/>
            </c:spPr>
            <c:txPr>
              <a:bodyPr rot="-5400000" spcFirstLastPara="1" vertOverflow="ellipsis" wrap="square" anchor="ctr" anchorCtr="1"/>
              <a:lstStyle/>
              <a:p>
                <a:pPr>
                  <a:defRPr sz="1100" b="1"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'6.2'!$Z$5:$Z$16</c:f>
              <c:strCache>
                <c:ptCount val="12"/>
                <c:pt idx="0">
                  <c:v>LPG</c:v>
                </c:pt>
                <c:pt idx="1">
                  <c:v>MS</c:v>
                </c:pt>
                <c:pt idx="2">
                  <c:v>Naphtha</c:v>
                </c:pt>
                <c:pt idx="3">
                  <c:v>ATF</c:v>
                </c:pt>
                <c:pt idx="4">
                  <c:v>SKO</c:v>
                </c:pt>
                <c:pt idx="5">
                  <c:v>HSD</c:v>
                </c:pt>
                <c:pt idx="6">
                  <c:v>LDO</c:v>
                </c:pt>
                <c:pt idx="7">
                  <c:v>Lubes</c:v>
                </c:pt>
                <c:pt idx="8">
                  <c:v>FO/LSHS</c:v>
                </c:pt>
                <c:pt idx="9">
                  <c:v>Bitumen</c:v>
                </c:pt>
                <c:pt idx="10">
                  <c:v>Petcoke</c:v>
                </c:pt>
                <c:pt idx="11">
                  <c:v>Others</c:v>
                </c:pt>
              </c:strCache>
            </c:strRef>
          </c:cat>
          <c:val>
            <c:numRef>
              <c:f>'6.2'!$AQ$5:$AQ$16</c:f>
              <c:numCache>
                <c:formatCode>0.0</c:formatCode>
                <c:ptCount val="12"/>
                <c:pt idx="0">
                  <c:v>31.320965116695181</c:v>
                </c:pt>
                <c:pt idx="1">
                  <c:v>40.004536817272594</c:v>
                </c:pt>
                <c:pt idx="2">
                  <c:v>13.028440831000001</c:v>
                </c:pt>
                <c:pt idx="3">
                  <c:v>8.984572328757622</c:v>
                </c:pt>
                <c:pt idx="4">
                  <c:v>0.40774494099455255</c:v>
                </c:pt>
                <c:pt idx="5">
                  <c:v>91.408501622980523</c:v>
                </c:pt>
                <c:pt idx="6">
                  <c:v>0.83818079508475518</c:v>
                </c:pt>
                <c:pt idx="7">
                  <c:v>4.5504984442979728</c:v>
                </c:pt>
                <c:pt idx="8">
                  <c:v>6.436106437381456</c:v>
                </c:pt>
                <c:pt idx="9">
                  <c:v>8.5815429005000006</c:v>
                </c:pt>
                <c:pt idx="10">
                  <c:v>22.002273545000001</c:v>
                </c:pt>
                <c:pt idx="11">
                  <c:v>11.602414162202807</c:v>
                </c:pt>
              </c:numCache>
            </c:numRef>
          </c:val>
          <c:extLst>
            <c:ext xmlns:c16="http://schemas.microsoft.com/office/drawing/2014/chart" uri="{C3380CC4-5D6E-409C-BE32-E72D297353CC}">
              <c16:uniqueId val="{00000000-AFE2-4177-91B2-B6BDF26C9B0D}"/>
            </c:ext>
          </c:extLst>
        </c:ser>
        <c:ser>
          <c:idx val="1"/>
          <c:order val="1"/>
          <c:tx>
            <c:strRef>
              <c:f>'6.2'!$AR$4</c:f>
              <c:strCache>
                <c:ptCount val="1"/>
                <c:pt idx="0">
                  <c:v>2025-26</c:v>
                </c:pt>
              </c:strCache>
            </c:strRef>
          </c:tx>
          <c:spPr>
            <a:gradFill rotWithShape="1">
              <a:gsLst>
                <a:gs pos="0">
                  <a:schemeClr val="accent2">
                    <a:satMod val="103000"/>
                    <a:lumMod val="102000"/>
                    <a:tint val="94000"/>
                  </a:schemeClr>
                </a:gs>
                <a:gs pos="50000">
                  <a:schemeClr val="accent2">
                    <a:satMod val="110000"/>
                    <a:lumMod val="100000"/>
                    <a:shade val="100000"/>
                  </a:schemeClr>
                </a:gs>
                <a:gs pos="100000">
                  <a:schemeClr val="accent2">
                    <a:lumMod val="99000"/>
                    <a:satMod val="120000"/>
                    <a:shade val="78000"/>
                  </a:schemeClr>
                </a:gs>
              </a:gsLst>
              <a:lin ang="5400000" scaled="0"/>
            </a:gradFill>
            <a:ln>
              <a:noFill/>
            </a:ln>
            <a:effectLst>
              <a:outerShdw blurRad="57150" dist="19050" dir="5400000" algn="ctr" rotWithShape="0">
                <a:srgbClr val="000000">
                  <a:alpha val="63000"/>
                </a:srgbClr>
              </a:outerShdw>
            </a:effectLst>
          </c:spPr>
          <c:invertIfNegative val="0"/>
          <c:dLbls>
            <c:spPr>
              <a:noFill/>
              <a:ln>
                <a:noFill/>
              </a:ln>
              <a:effectLst/>
            </c:spPr>
            <c:txPr>
              <a:bodyPr rot="-5400000" spcFirstLastPara="1" vertOverflow="ellipsis" wrap="square" anchor="ctr" anchorCtr="1"/>
              <a:lstStyle/>
              <a:p>
                <a:pPr>
                  <a:defRPr sz="1100" b="1" i="0" u="none" strike="noStrike" kern="1200" baseline="0">
                    <a:solidFill>
                      <a:schemeClr val="tx1">
                        <a:lumMod val="75000"/>
                        <a:lumOff val="25000"/>
                      </a:schemeClr>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'6.2'!$Z$5:$Z$16</c:f>
              <c:strCache>
                <c:ptCount val="12"/>
                <c:pt idx="0">
                  <c:v>LPG</c:v>
                </c:pt>
                <c:pt idx="1">
                  <c:v>MS</c:v>
                </c:pt>
                <c:pt idx="2">
                  <c:v>Naphtha</c:v>
                </c:pt>
                <c:pt idx="3">
                  <c:v>ATF</c:v>
                </c:pt>
                <c:pt idx="4">
                  <c:v>SKO</c:v>
                </c:pt>
                <c:pt idx="5">
                  <c:v>HSD</c:v>
                </c:pt>
                <c:pt idx="6">
                  <c:v>LDO</c:v>
                </c:pt>
                <c:pt idx="7">
                  <c:v>Lubes</c:v>
                </c:pt>
                <c:pt idx="8">
                  <c:v>FO/LSHS</c:v>
                </c:pt>
                <c:pt idx="9">
                  <c:v>Bitumen</c:v>
                </c:pt>
                <c:pt idx="10">
                  <c:v>Petcoke</c:v>
                </c:pt>
                <c:pt idx="11">
                  <c:v>Others</c:v>
                </c:pt>
              </c:strCache>
            </c:strRef>
          </c:cat>
          <c:val>
            <c:numRef>
              <c:f>'6.2'!$AR$5:$AR$16</c:f>
              <c:numCache>
                <c:formatCode>0.0</c:formatCode>
                <c:ptCount val="12"/>
                <c:pt idx="0">
                  <c:v>33.169508947162058</c:v>
                </c:pt>
                <c:pt idx="1">
                  <c:v>42.586187761012482</c:v>
                </c:pt>
                <c:pt idx="2">
                  <c:v>11.725756846000007</c:v>
                </c:pt>
                <c:pt idx="3">
                  <c:v>9.1613985227124441</c:v>
                </c:pt>
                <c:pt idx="4">
                  <c:v>0.45964324241245147</c:v>
                </c:pt>
                <c:pt idx="5">
                  <c:v>94.70482319832216</c:v>
                </c:pt>
                <c:pt idx="6">
                  <c:v>1.0093309206143346</c:v>
                </c:pt>
                <c:pt idx="7">
                  <c:v>4.9614841388130699</c:v>
                </c:pt>
                <c:pt idx="8">
                  <c:v>6.3768721655208722</c:v>
                </c:pt>
                <c:pt idx="9">
                  <c:v>8.6972997800000016</c:v>
                </c:pt>
                <c:pt idx="10">
                  <c:v>18.400789378000002</c:v>
                </c:pt>
                <c:pt idx="11">
                  <c:v>10.356682038389986</c:v>
                </c:pt>
              </c:numCache>
            </c:numRef>
          </c:val>
          <c:extLst>
            <c:ext xmlns:c16="http://schemas.microsoft.com/office/drawing/2014/chart" uri="{C3380CC4-5D6E-409C-BE32-E72D297353CC}">
              <c16:uniqueId val="{00000001-AFE2-4177-91B2-B6BDF26C9B0D}"/>
            </c:ext>
          </c:extLst>
        </c:ser>
        <c:dLbls>
          <c:dLblPos val="outEnd"/>
          <c:showLegendKey val="0"/>
          <c:showVal val="1"/>
          <c:showCatName val="0"/>
          <c:showSerName val="0"/>
          <c:showPercent val="0"/>
          <c:showBubbleSize val="0"/>
        </c:dLbls>
        <c:gapWidth val="150"/>
        <c:overlap val="-24"/>
        <c:axId val="284957727"/>
        <c:axId val="2088495535"/>
      </c:barChart>
      <c:catAx>
        <c:axId val="284957727"/>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6000000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en-US"/>
          </a:p>
        </c:txPr>
        <c:crossAx val="2088495535"/>
        <c:crosses val="autoZero"/>
        <c:auto val="1"/>
        <c:lblAlgn val="ctr"/>
        <c:lblOffset val="100"/>
        <c:noMultiLvlLbl val="0"/>
      </c:catAx>
      <c:valAx>
        <c:axId val="2088495535"/>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r>
                  <a:rPr lang="en-US"/>
                  <a:t>(MMT)</a:t>
                </a:r>
              </a:p>
            </c:rich>
          </c:tx>
          <c:layout>
            <c:manualLayout>
              <c:xMode val="edge"/>
              <c:yMode val="edge"/>
              <c:x val="7.6434252364980058E-3"/>
              <c:y val="0.38855893025849197"/>
            </c:manualLayout>
          </c:layout>
          <c:overlay val="0"/>
          <c:spPr>
            <a:noFill/>
            <a:ln>
              <a:noFill/>
            </a:ln>
            <a:effectLst/>
          </c:spPr>
          <c:txPr>
            <a:bodyPr rot="-540000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en-US"/>
          </a:p>
        </c:txPr>
        <c:crossAx val="28495772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1100" b="1"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sz="1100" b="1"/>
      </a:pPr>
      <a:endParaRPr lang="en-US"/>
    </a:p>
  </c:txPr>
  <c:printSettings>
    <c:headerFooter>
      <c:oddFooter>&amp;C&amp;8 19&amp;R&amp;8Snapshot of India's Oil &amp;&amp; Gas data -  August, 2020</c:oddFooter>
    </c:headerFooter>
    <c:pageMargins b="0.75" l="0.7" r="0.7" t="0.75" header="0.3" footer="0.3"/>
    <c:pageSetup paperSize="11" orientation="portrait"/>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r>
              <a:rPr lang="en-US"/>
              <a:t>Share of various products in overall POL comsumption during FY 2025-26 </a:t>
            </a:r>
          </a:p>
        </c:rich>
      </c:tx>
      <c:layout>
        <c:manualLayout>
          <c:xMode val="edge"/>
          <c:yMode val="edge"/>
          <c:x val="0.13165139093715897"/>
          <c:y val="0"/>
        </c:manualLayout>
      </c:layout>
      <c:overlay val="0"/>
      <c:spPr>
        <a:noFill/>
        <a:ln>
          <a:noFill/>
        </a:ln>
        <a:effectLst/>
      </c:spPr>
      <c:txPr>
        <a:bodyPr rot="0" spcFirstLastPara="1" vertOverflow="ellipsis" vert="horz" wrap="square" anchor="ctr" anchorCtr="1"/>
        <a:lstStyle/>
        <a:p>
          <a:pPr>
            <a:defRPr sz="1600" b="1" i="0" u="none" strike="noStrike" kern="1200" cap="all"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5.5335970675711747E-3"/>
          <c:y val="0.17661139212252711"/>
          <c:w val="0.95019762639185934"/>
          <c:h val="0.81301497897193753"/>
        </c:manualLayout>
      </c:layout>
      <c:pie3DChart>
        <c:varyColors val="1"/>
        <c:ser>
          <c:idx val="0"/>
          <c:order val="0"/>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0BB-4251-9A28-DC53A55B14C7}"/>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0BB-4251-9A28-DC53A55B14C7}"/>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0BB-4251-9A28-DC53A55B14C7}"/>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0BB-4251-9A28-DC53A55B14C7}"/>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0BB-4251-9A28-DC53A55B14C7}"/>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0BB-4251-9A28-DC53A55B14C7}"/>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00BB-4251-9A28-DC53A55B14C7}"/>
              </c:ext>
            </c:extLst>
          </c:dPt>
          <c:dPt>
            <c:idx val="7"/>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00BB-4251-9A28-DC53A55B14C7}"/>
              </c:ext>
            </c:extLst>
          </c:dPt>
          <c:dPt>
            <c:idx val="8"/>
            <c:bubble3D val="0"/>
            <c:spPr>
              <a:solidFill>
                <a:schemeClr val="accent3">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00BB-4251-9A28-DC53A55B14C7}"/>
              </c:ext>
            </c:extLst>
          </c:dPt>
          <c:dPt>
            <c:idx val="9"/>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00BB-4251-9A28-DC53A55B14C7}"/>
              </c:ext>
            </c:extLst>
          </c:dPt>
          <c:dPt>
            <c:idx val="10"/>
            <c:bubble3D val="0"/>
            <c:spPr>
              <a:solidFill>
                <a:schemeClr val="accent5">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00BB-4251-9A28-DC53A55B14C7}"/>
              </c:ext>
            </c:extLst>
          </c:dPt>
          <c:dPt>
            <c:idx val="11"/>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00BB-4251-9A28-DC53A55B14C7}"/>
              </c:ext>
            </c:extLst>
          </c:dPt>
          <c:dLbls>
            <c:dLbl>
              <c:idx val="0"/>
              <c:layout>
                <c:manualLayout>
                  <c:x val="4.6113308896426321E-2"/>
                  <c:y val="0"/>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1"/>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00BB-4251-9A28-DC53A55B14C7}"/>
                </c:ext>
              </c:extLst>
            </c:dLbl>
            <c:dLbl>
              <c:idx val="1"/>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2"/>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3-00BB-4251-9A28-DC53A55B14C7}"/>
                </c:ext>
              </c:extLst>
            </c:dLbl>
            <c:dLbl>
              <c:idx val="2"/>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3"/>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5-00BB-4251-9A28-DC53A55B14C7}"/>
                </c:ext>
              </c:extLst>
            </c:dLbl>
            <c:dLbl>
              <c:idx val="3"/>
              <c:layout>
                <c:manualLayout>
                  <c:x val="3.1357050049569991E-2"/>
                  <c:y val="-6.3063083193863282E-3"/>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4"/>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00BB-4251-9A28-DC53A55B14C7}"/>
                </c:ext>
              </c:extLst>
            </c:dLbl>
            <c:dLbl>
              <c:idx val="4"/>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5"/>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9-00BB-4251-9A28-DC53A55B14C7}"/>
                </c:ext>
              </c:extLst>
            </c:dLbl>
            <c:dLbl>
              <c:idx val="5"/>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6"/>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B-00BB-4251-9A28-DC53A55B14C7}"/>
                </c:ext>
              </c:extLst>
            </c:dLbl>
            <c:dLbl>
              <c:idx val="6"/>
              <c:layout>
                <c:manualLayout>
                  <c:x val="-3.8735179472998225E-2"/>
                  <c:y val="0.10090093311017941"/>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1">
                          <a:lumMod val="60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00BB-4251-9A28-DC53A55B14C7}"/>
                </c:ext>
              </c:extLst>
            </c:dLbl>
            <c:dLbl>
              <c:idx val="7"/>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2">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F-00BB-4251-9A28-DC53A55B14C7}"/>
                </c:ext>
              </c:extLst>
            </c:dLbl>
            <c:dLbl>
              <c:idx val="8"/>
              <c:layout>
                <c:manualLayout>
                  <c:x val="-4.7957841252283528E-2"/>
                  <c:y val="-4.0991004076010411E-2"/>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3">
                          <a:lumMod val="60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00BB-4251-9A28-DC53A55B14C7}"/>
                </c:ext>
              </c:extLst>
            </c:dLbl>
            <c:dLbl>
              <c:idx val="9"/>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4">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3-00BB-4251-9A28-DC53A55B14C7}"/>
                </c:ext>
              </c:extLst>
            </c:dLbl>
            <c:dLbl>
              <c:idx val="10"/>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5">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5-00BB-4251-9A28-DC53A55B14C7}"/>
                </c:ext>
              </c:extLst>
            </c:dLbl>
            <c:dLbl>
              <c:idx val="11"/>
              <c:layout>
                <c:manualLayout>
                  <c:x val="-4.2424244184712412E-2"/>
                  <c:y val="3.1531541596931064E-3"/>
                </c:manualLayout>
              </c:layout>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6">
                          <a:lumMod val="60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7-00BB-4251-9A28-DC53A55B14C7}"/>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200" b="1" i="0" u="none" strike="noStrike" kern="1200" spc="0" baseline="0">
                    <a:solidFill>
                      <a:schemeClr val="accent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'6.2'!$Z$5:$Z$16</c:f>
              <c:strCache>
                <c:ptCount val="12"/>
                <c:pt idx="0">
                  <c:v>LPG</c:v>
                </c:pt>
                <c:pt idx="1">
                  <c:v>MS</c:v>
                </c:pt>
                <c:pt idx="2">
                  <c:v>Naphtha</c:v>
                </c:pt>
                <c:pt idx="3">
                  <c:v>ATF</c:v>
                </c:pt>
                <c:pt idx="4">
                  <c:v>SKO</c:v>
                </c:pt>
                <c:pt idx="5">
                  <c:v>HSD</c:v>
                </c:pt>
                <c:pt idx="6">
                  <c:v>LDO</c:v>
                </c:pt>
                <c:pt idx="7">
                  <c:v>Lubes</c:v>
                </c:pt>
                <c:pt idx="8">
                  <c:v>FO/LSHS</c:v>
                </c:pt>
                <c:pt idx="9">
                  <c:v>Bitumen</c:v>
                </c:pt>
                <c:pt idx="10">
                  <c:v>Petcoke</c:v>
                </c:pt>
                <c:pt idx="11">
                  <c:v>Others</c:v>
                </c:pt>
              </c:strCache>
            </c:strRef>
          </c:cat>
          <c:val>
            <c:numRef>
              <c:f>'6.2'!$AR$5:$AR$16</c:f>
              <c:numCache>
                <c:formatCode>0.0</c:formatCode>
                <c:ptCount val="12"/>
                <c:pt idx="0">
                  <c:v>33.169508947162058</c:v>
                </c:pt>
                <c:pt idx="1">
                  <c:v>42.586187761012482</c:v>
                </c:pt>
                <c:pt idx="2">
                  <c:v>11.725756846000007</c:v>
                </c:pt>
                <c:pt idx="3">
                  <c:v>9.1613985227124441</c:v>
                </c:pt>
                <c:pt idx="4">
                  <c:v>0.45964324241245147</c:v>
                </c:pt>
                <c:pt idx="5">
                  <c:v>94.70482319832216</c:v>
                </c:pt>
                <c:pt idx="6">
                  <c:v>1.0093309206143346</c:v>
                </c:pt>
                <c:pt idx="7">
                  <c:v>4.9614841388130699</c:v>
                </c:pt>
                <c:pt idx="8">
                  <c:v>6.3768721655208722</c:v>
                </c:pt>
                <c:pt idx="9">
                  <c:v>8.6972997800000016</c:v>
                </c:pt>
                <c:pt idx="10">
                  <c:v>18.400789378000002</c:v>
                </c:pt>
                <c:pt idx="11">
                  <c:v>10.356682038389986</c:v>
                </c:pt>
              </c:numCache>
            </c:numRef>
          </c:val>
          <c:extLst>
            <c:ext xmlns:c16="http://schemas.microsoft.com/office/drawing/2014/chart" uri="{C3380CC4-5D6E-409C-BE32-E72D297353CC}">
              <c16:uniqueId val="{00000018-00BB-4251-9A28-DC53A55B14C7}"/>
            </c:ext>
          </c:extLst>
        </c:ser>
        <c:dLbls>
          <c:dLblPos val="bestFit"/>
          <c:showLegendKey val="0"/>
          <c:showVal val="0"/>
          <c:showCatName val="1"/>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5434011047126566E-2"/>
          <c:y val="8.0031982544709515E-2"/>
          <c:w val="0.88241078074195944"/>
          <c:h val="0.75013527155259441"/>
        </c:manualLayout>
      </c:layout>
      <c:barChart>
        <c:barDir val="col"/>
        <c:grouping val="clustered"/>
        <c:varyColors val="0"/>
        <c:ser>
          <c:idx val="0"/>
          <c:order val="0"/>
          <c:tx>
            <c:strRef>
              <c:f>'[10]11-Graph'!$M$3</c:f>
              <c:strCache>
                <c:ptCount val="1"/>
                <c:pt idx="0">
                  <c:v>Production</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invertIfNegative val="0"/>
          <c:dLbls>
            <c:dLbl>
              <c:idx val="6"/>
              <c:layout>
                <c:manualLayout>
                  <c:x val="-3.9721946375372392E-3"/>
                  <c:y val="-9.0497737556561094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269-4336-A732-A4BBFC6B0780}"/>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'[10]11-Graph'!$L$4:$L$15</c:f>
              <c:strCache>
                <c:ptCount val="12"/>
                <c:pt idx="0">
                  <c:v>LPG</c:v>
                </c:pt>
                <c:pt idx="1">
                  <c:v>MS</c:v>
                </c:pt>
                <c:pt idx="2">
                  <c:v>NAPHTHA</c:v>
                </c:pt>
                <c:pt idx="3">
                  <c:v>ATF</c:v>
                </c:pt>
                <c:pt idx="4">
                  <c:v>SKO</c:v>
                </c:pt>
                <c:pt idx="5">
                  <c:v>HSD</c:v>
                </c:pt>
                <c:pt idx="6">
                  <c:v>LDO</c:v>
                </c:pt>
                <c:pt idx="7">
                  <c:v>LUBES</c:v>
                </c:pt>
                <c:pt idx="8">
                  <c:v>FO/LSHS</c:v>
                </c:pt>
                <c:pt idx="9">
                  <c:v>BITUMEN</c:v>
                </c:pt>
                <c:pt idx="10">
                  <c:v>PET COKE</c:v>
                </c:pt>
                <c:pt idx="11">
                  <c:v>OTHERS</c:v>
                </c:pt>
              </c:strCache>
            </c:strRef>
          </c:cat>
          <c:val>
            <c:numRef>
              <c:f>'[10]11-Graph'!$M$4:$M$15</c:f>
              <c:numCache>
                <c:formatCode>General</c:formatCode>
                <c:ptCount val="12"/>
                <c:pt idx="0">
                  <c:v>12.784747430320003</c:v>
                </c:pt>
                <c:pt idx="1">
                  <c:v>48.264588936806646</c:v>
                </c:pt>
                <c:pt idx="2">
                  <c:v>18.329551020655998</c:v>
                </c:pt>
                <c:pt idx="3">
                  <c:v>17.752192582008</c:v>
                </c:pt>
                <c:pt idx="4">
                  <c:v>1.008654442553</c:v>
                </c:pt>
                <c:pt idx="5">
                  <c:v>118.00821789897998</c:v>
                </c:pt>
                <c:pt idx="6">
                  <c:v>0.63180392008099995</c:v>
                </c:pt>
                <c:pt idx="7">
                  <c:v>1.2996821793389997</c:v>
                </c:pt>
                <c:pt idx="8">
                  <c:v>10.338749668840997</c:v>
                </c:pt>
                <c:pt idx="9">
                  <c:v>5.3033462334439996</c:v>
                </c:pt>
                <c:pt idx="10">
                  <c:v>14.9634312373977</c:v>
                </c:pt>
                <c:pt idx="11">
                  <c:v>35.387143017018907</c:v>
                </c:pt>
              </c:numCache>
            </c:numRef>
          </c:val>
          <c:extLst>
            <c:ext xmlns:c16="http://schemas.microsoft.com/office/drawing/2014/chart" uri="{C3380CC4-5D6E-409C-BE32-E72D297353CC}">
              <c16:uniqueId val="{00000001-C269-4336-A732-A4BBFC6B0780}"/>
            </c:ext>
          </c:extLst>
        </c:ser>
        <c:ser>
          <c:idx val="1"/>
          <c:order val="1"/>
          <c:tx>
            <c:strRef>
              <c:f>'[10]11-Graph'!$N$3</c:f>
              <c:strCache>
                <c:ptCount val="1"/>
                <c:pt idx="0">
                  <c:v>Consumption</c:v>
                </c:pt>
              </c:strCache>
            </c:strRef>
          </c:tx>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invertIfNegative val="0"/>
          <c:dLbls>
            <c:dLbl>
              <c:idx val="6"/>
              <c:layout>
                <c:manualLayout>
                  <c:x val="1.9860973187686196E-3"/>
                  <c:y val="6.0331825037706283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C269-4336-A732-A4BBFC6B0780}"/>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'[10]11-Graph'!$L$4:$L$15</c:f>
              <c:strCache>
                <c:ptCount val="12"/>
                <c:pt idx="0">
                  <c:v>LPG</c:v>
                </c:pt>
                <c:pt idx="1">
                  <c:v>MS</c:v>
                </c:pt>
                <c:pt idx="2">
                  <c:v>NAPHTHA</c:v>
                </c:pt>
                <c:pt idx="3">
                  <c:v>ATF</c:v>
                </c:pt>
                <c:pt idx="4">
                  <c:v>SKO</c:v>
                </c:pt>
                <c:pt idx="5">
                  <c:v>HSD</c:v>
                </c:pt>
                <c:pt idx="6">
                  <c:v>LDO</c:v>
                </c:pt>
                <c:pt idx="7">
                  <c:v>LUBES</c:v>
                </c:pt>
                <c:pt idx="8">
                  <c:v>FO/LSHS</c:v>
                </c:pt>
                <c:pt idx="9">
                  <c:v>BITUMEN</c:v>
                </c:pt>
                <c:pt idx="10">
                  <c:v>PET COKE</c:v>
                </c:pt>
                <c:pt idx="11">
                  <c:v>OTHERS</c:v>
                </c:pt>
              </c:strCache>
            </c:strRef>
          </c:cat>
          <c:val>
            <c:numRef>
              <c:f>'[10]11-Graph'!$N$4:$N$15</c:f>
              <c:numCache>
                <c:formatCode>General</c:formatCode>
                <c:ptCount val="12"/>
                <c:pt idx="0">
                  <c:v>31.320412262612184</c:v>
                </c:pt>
                <c:pt idx="1">
                  <c:v>40.004539130439262</c:v>
                </c:pt>
                <c:pt idx="2">
                  <c:v>13.153341099251001</c:v>
                </c:pt>
                <c:pt idx="3">
                  <c:v>8.9847838910909559</c:v>
                </c:pt>
                <c:pt idx="4">
                  <c:v>0.40774494099455255</c:v>
                </c:pt>
                <c:pt idx="5">
                  <c:v>91.406924104730408</c:v>
                </c:pt>
                <c:pt idx="6">
                  <c:v>0.83818154041808879</c:v>
                </c:pt>
                <c:pt idx="7">
                  <c:v>4.588941319307974</c:v>
                </c:pt>
                <c:pt idx="8">
                  <c:v>6.4585686494641497</c:v>
                </c:pt>
                <c:pt idx="9">
                  <c:v>8.3304026962500011</c:v>
                </c:pt>
                <c:pt idx="10">
                  <c:v>22.063037920999996</c:v>
                </c:pt>
                <c:pt idx="11">
                  <c:v>11.614112876202864</c:v>
                </c:pt>
              </c:numCache>
            </c:numRef>
          </c:val>
          <c:extLst>
            <c:ext xmlns:c16="http://schemas.microsoft.com/office/drawing/2014/chart" uri="{C3380CC4-5D6E-409C-BE32-E72D297353CC}">
              <c16:uniqueId val="{00000003-C269-4336-A732-A4BBFC6B0780}"/>
            </c:ext>
          </c:extLst>
        </c:ser>
        <c:dLbls>
          <c:dLblPos val="inEnd"/>
          <c:showLegendKey val="0"/>
          <c:showVal val="1"/>
          <c:showCatName val="0"/>
          <c:showSerName val="0"/>
          <c:showPercent val="0"/>
          <c:showBubbleSize val="0"/>
        </c:dLbls>
        <c:gapWidth val="100"/>
        <c:overlap val="-24"/>
        <c:axId val="284957727"/>
        <c:axId val="2088495535"/>
      </c:barChart>
      <c:catAx>
        <c:axId val="284957727"/>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n-lt"/>
                <a:ea typeface="+mn-ea"/>
                <a:cs typeface="+mn-cs"/>
              </a:defRPr>
            </a:pPr>
            <a:endParaRPr lang="en-US"/>
          </a:p>
        </c:txPr>
        <c:crossAx val="2088495535"/>
        <c:crosses val="autoZero"/>
        <c:auto val="1"/>
        <c:lblAlgn val="ctr"/>
        <c:lblOffset val="100"/>
        <c:noMultiLvlLbl val="0"/>
      </c:catAx>
      <c:valAx>
        <c:axId val="2088495535"/>
        <c:scaling>
          <c:orientation val="minMax"/>
        </c:scaling>
        <c:delete val="0"/>
        <c:axPos val="l"/>
        <c:majorGridlines>
          <c:spPr>
            <a:ln w="9525" cap="flat" cmpd="sng" algn="ctr">
              <a:noFill/>
              <a:round/>
            </a:ln>
            <a:effectLst/>
          </c:spPr>
        </c:majorGridlines>
        <c:title>
          <c:tx>
            <c:rich>
              <a:bodyPr rot="-54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r>
                  <a:rPr lang="en-US">
                    <a:solidFill>
                      <a:sysClr val="windowText" lastClr="000000"/>
                    </a:solidFill>
                  </a:rPr>
                  <a:t>(MMT)</a:t>
                </a:r>
              </a:p>
            </c:rich>
          </c:tx>
          <c:layout>
            <c:manualLayout>
              <c:xMode val="edge"/>
              <c:yMode val="edge"/>
              <c:x val="7.6434252364980058E-3"/>
              <c:y val="0.38855893025849197"/>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crossAx val="284957727"/>
        <c:crosses val="autoZero"/>
        <c:crossBetween val="between"/>
      </c:valAx>
      <c:spPr>
        <a:solidFill>
          <a:sysClr val="window" lastClr="FFFFFF"/>
        </a:solidFill>
        <a:ln>
          <a:noFill/>
        </a:ln>
        <a:effectLst/>
      </c:spPr>
    </c:plotArea>
    <c:legend>
      <c:legendPos val="b"/>
      <c:layout>
        <c:manualLayout>
          <c:xMode val="edge"/>
          <c:yMode val="edge"/>
          <c:x val="0.35521839620793672"/>
          <c:y val="0.90623555539720435"/>
          <c:w val="0.28956305088729578"/>
          <c:h val="5.4548758328285887E-2"/>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3">
        <a:lumMod val="20000"/>
        <a:lumOff val="80000"/>
      </a:schemeClr>
    </a:solidFill>
    <a:ln w="9525" cap="flat" cmpd="sng" algn="ctr">
      <a:solidFill>
        <a:schemeClr val="tx2">
          <a:lumMod val="15000"/>
          <a:lumOff val="85000"/>
        </a:schemeClr>
      </a:solidFill>
      <a:round/>
    </a:ln>
    <a:effectLst/>
  </c:spPr>
  <c:txPr>
    <a:bodyPr/>
    <a:lstStyle/>
    <a:p>
      <a:pPr>
        <a:defRPr/>
      </a:pPr>
      <a:endParaRPr lang="en-US"/>
    </a:p>
  </c:txPr>
  <c:printSettings>
    <c:headerFooter>
      <c:oddFooter>&amp;C&amp;8 19&amp;R&amp;8Snapshot of India's Oil &amp;&amp; Gas data -  August, 2020</c:oddFooter>
    </c:headerFooter>
    <c:pageMargins b="0.75" l="0.7" r="0.7" t="0.75" header="0.3" footer="0.3"/>
    <c:pageSetup paperSize="11" orientation="portrait"/>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Book Antiqua" panose="02040602050305030304" pitchFamily="18" charset="0"/>
                <a:ea typeface="+mn-ea"/>
                <a:cs typeface="+mn-cs"/>
              </a:defRPr>
            </a:pPr>
            <a:r>
              <a:rPr lang="en-US" sz="1400" b="1" i="0" u="none" strike="noStrike" kern="1200" spc="0" baseline="0">
                <a:solidFill>
                  <a:schemeClr val="tx1"/>
                </a:solidFill>
                <a:latin typeface="Book Antiqua" panose="02040602050305030304" pitchFamily="18" charset="0"/>
              </a:rPr>
              <a:t>Share of various products in overall POL comsumption during FY 2024-25 (P)</a:t>
            </a:r>
            <a:endParaRPr lang="en-US" b="1">
              <a:latin typeface="Book Antiqua" panose="02040602050305030304" pitchFamily="18" charset="0"/>
            </a:endParaRP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Book Antiqua" panose="02040602050305030304" pitchFamily="18" charset="0"/>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0178576136409842E-2"/>
          <c:y val="0.14507986095480416"/>
          <c:w val="0.90922641418569727"/>
          <c:h val="0.65851047494775317"/>
        </c:manualLayout>
      </c:layout>
      <c:pie3DChart>
        <c:varyColors val="1"/>
        <c:ser>
          <c:idx val="0"/>
          <c:order val="0"/>
          <c:tx>
            <c:strRef>
              <c:f>'POL Market Share (2)'!$X$28</c:f>
              <c:strCache>
                <c:ptCount val="1"/>
                <c:pt idx="0">
                  <c:v>FY 2025-26 (H1)</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595-432F-B7C6-BF5A3B9447BA}"/>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595-432F-B7C6-BF5A3B9447BA}"/>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4595-432F-B7C6-BF5A3B9447BA}"/>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4595-432F-B7C6-BF5A3B9447BA}"/>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4595-432F-B7C6-BF5A3B9447BA}"/>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4595-432F-B7C6-BF5A3B9447BA}"/>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4595-432F-B7C6-BF5A3B9447BA}"/>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4595-432F-B7C6-BF5A3B9447BA}"/>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4595-432F-B7C6-BF5A3B9447BA}"/>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4595-432F-B7C6-BF5A3B9447BA}"/>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4595-432F-B7C6-BF5A3B9447BA}"/>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4595-432F-B7C6-BF5A3B9447BA}"/>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ysClr val="windowText" lastClr="000000"/>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'POL Market Share (2)'!$W$29:$W$40</c:f>
              <c:strCache>
                <c:ptCount val="12"/>
                <c:pt idx="0">
                  <c:v>LPG</c:v>
                </c:pt>
                <c:pt idx="1">
                  <c:v>MS</c:v>
                </c:pt>
                <c:pt idx="2">
                  <c:v>Naphtha</c:v>
                </c:pt>
                <c:pt idx="3">
                  <c:v>ATF</c:v>
                </c:pt>
                <c:pt idx="4">
                  <c:v>SKO</c:v>
                </c:pt>
                <c:pt idx="5">
                  <c:v>HSD</c:v>
                </c:pt>
                <c:pt idx="6">
                  <c:v>LDO</c:v>
                </c:pt>
                <c:pt idx="7">
                  <c:v>Lubes</c:v>
                </c:pt>
                <c:pt idx="8">
                  <c:v>FO/LSHS</c:v>
                </c:pt>
                <c:pt idx="9">
                  <c:v>Bitumen</c:v>
                </c:pt>
                <c:pt idx="10">
                  <c:v>Petcoke</c:v>
                </c:pt>
                <c:pt idx="11">
                  <c:v>Others*</c:v>
                </c:pt>
              </c:strCache>
            </c:strRef>
          </c:cat>
          <c:val>
            <c:numRef>
              <c:f>'POL Market Share (2)'!$X$29:$X$40</c:f>
              <c:numCache>
                <c:formatCode>0.0</c:formatCode>
                <c:ptCount val="12"/>
                <c:pt idx="0">
                  <c:v>16.226922869423912</c:v>
                </c:pt>
                <c:pt idx="1">
                  <c:v>21.189529138211345</c:v>
                </c:pt>
                <c:pt idx="2">
                  <c:v>5.8193186876000009</c:v>
                </c:pt>
                <c:pt idx="3">
                  <c:v>4.418051165151649</c:v>
                </c:pt>
                <c:pt idx="4">
                  <c:v>0.21243230886963319</c:v>
                </c:pt>
                <c:pt idx="5">
                  <c:v>45.68648848386924</c:v>
                </c:pt>
                <c:pt idx="6">
                  <c:v>0.50910986834119953</c:v>
                </c:pt>
                <c:pt idx="7">
                  <c:v>2.3130065895317813</c:v>
                </c:pt>
                <c:pt idx="8">
                  <c:v>3.0147806165493476</c:v>
                </c:pt>
                <c:pt idx="9">
                  <c:v>3.7775096927999869</c:v>
                </c:pt>
                <c:pt idx="10">
                  <c:v>10.450378695199969</c:v>
                </c:pt>
                <c:pt idx="11">
                  <c:v>5.1722600111357782</c:v>
                </c:pt>
              </c:numCache>
            </c:numRef>
          </c:val>
          <c:extLst>
            <c:ext xmlns:c16="http://schemas.microsoft.com/office/drawing/2014/chart" uri="{C3380CC4-5D6E-409C-BE32-E72D297353CC}">
              <c16:uniqueId val="{00000018-4595-432F-B7C6-BF5A3B9447BA}"/>
            </c:ext>
          </c:extLst>
        </c:ser>
        <c:dLbls>
          <c:showLegendKey val="0"/>
          <c:showVal val="0"/>
          <c:showCatName val="0"/>
          <c:showSerName val="0"/>
          <c:showPercent val="0"/>
          <c:showBubbleSize val="0"/>
          <c:showLeaderLines val="1"/>
        </c:dLbls>
      </c:pie3DChart>
      <c:spPr>
        <a:solidFill>
          <a:schemeClr val="tx2">
            <a:lumMod val="10000"/>
            <a:lumOff val="90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tx2">
        <a:lumMod val="25000"/>
        <a:lumOff val="75000"/>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baseline="0">
                <a:solidFill>
                  <a:sysClr val="windowText" lastClr="000000"/>
                </a:solidFill>
                <a:latin typeface="+mn-lt"/>
                <a:ea typeface="+mn-ea"/>
                <a:cs typeface="+mn-cs"/>
              </a:defRPr>
            </a:pPr>
            <a:r>
              <a:rPr lang="en-IN">
                <a:solidFill>
                  <a:sysClr val="windowText" lastClr="000000"/>
                </a:solidFill>
              </a:rPr>
              <a:t>Survey based sectoral diesel consumption_sectoral</a:t>
            </a:r>
          </a:p>
        </c:rich>
      </c:tx>
      <c:overlay val="0"/>
      <c:spPr>
        <a:noFill/>
        <a:ln>
          <a:noFill/>
        </a:ln>
        <a:effectLst/>
      </c:spPr>
      <c:txPr>
        <a:bodyPr rot="0" spcFirstLastPara="1" vertOverflow="ellipsis" vert="horz" wrap="square" anchor="ctr" anchorCtr="1"/>
        <a:lstStyle/>
        <a:p>
          <a:pPr>
            <a:defRPr sz="1600" b="1" i="0" u="none" strike="noStrike" kern="1200" cap="all" baseline="0">
              <a:solidFill>
                <a:sysClr val="windowText" lastClr="000000"/>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explosion val="2"/>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5006-48CD-9037-DC5A908C883C}"/>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5006-48CD-9037-DC5A908C883C}"/>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5006-48CD-9037-DC5A908C883C}"/>
              </c:ext>
            </c:extLst>
          </c:dPt>
          <c:dPt>
            <c:idx val="3"/>
            <c:bubble3D val="0"/>
            <c:explosion val="26"/>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5006-48CD-9037-DC5A908C883C}"/>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5006-48CD-9037-DC5A908C883C}"/>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5006-48CD-9037-DC5A908C883C}"/>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5006-48CD-9037-DC5A908C883C}"/>
              </c:ext>
            </c:extLst>
          </c:dPt>
          <c:dPt>
            <c:idx val="7"/>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5006-48CD-9037-DC5A908C883C}"/>
              </c:ext>
            </c:extLst>
          </c:dPt>
          <c:dPt>
            <c:idx val="8"/>
            <c:bubble3D val="0"/>
            <c:spPr>
              <a:solidFill>
                <a:schemeClr val="accent3">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5006-48CD-9037-DC5A908C883C}"/>
              </c:ext>
            </c:extLst>
          </c:dPt>
          <c:dPt>
            <c:idx val="9"/>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5006-48CD-9037-DC5A908C883C}"/>
              </c:ext>
            </c:extLst>
          </c:dPt>
          <c:dPt>
            <c:idx val="10"/>
            <c:bubble3D val="0"/>
            <c:spPr>
              <a:solidFill>
                <a:schemeClr val="accent5">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5006-48CD-9037-DC5A908C883C}"/>
              </c:ext>
            </c:extLst>
          </c:dPt>
          <c:dPt>
            <c:idx val="11"/>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5006-48CD-9037-DC5A908C883C}"/>
              </c:ext>
            </c:extLst>
          </c:dPt>
          <c:dLbls>
            <c:dLbl>
              <c:idx val="0"/>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1-5006-48CD-9037-DC5A908C883C}"/>
                </c:ext>
              </c:extLst>
            </c:dLbl>
            <c:dLbl>
              <c:idx val="1"/>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3-5006-48CD-9037-DC5A908C883C}"/>
                </c:ext>
              </c:extLst>
            </c:dLbl>
            <c:dLbl>
              <c:idx val="2"/>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tx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5-5006-48CD-9037-DC5A908C883C}"/>
                </c:ext>
              </c:extLst>
            </c:dLbl>
            <c:dLbl>
              <c:idx val="3"/>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tx1"/>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7-5006-48CD-9037-DC5A908C883C}"/>
                </c:ext>
              </c:extLst>
            </c:dLbl>
            <c:dLbl>
              <c:idx val="4"/>
              <c:layout>
                <c:manualLayout>
                  <c:x val="0"/>
                  <c:y val="0.11157602749514454"/>
                </c:manualLayout>
              </c:layout>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5"/>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5006-48CD-9037-DC5A908C883C}"/>
                </c:ext>
              </c:extLst>
            </c:dLbl>
            <c:dLbl>
              <c:idx val="5"/>
              <c:layout>
                <c:manualLayout>
                  <c:x val="0"/>
                  <c:y val="7.4384018330096363E-2"/>
                </c:manualLayout>
              </c:layout>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5006-48CD-9037-DC5A908C883C}"/>
                </c:ext>
              </c:extLst>
            </c:dLbl>
            <c:dLbl>
              <c:idx val="6"/>
              <c:layout>
                <c:manualLayout>
                  <c:x val="-7.3506891271056668E-2"/>
                  <c:y val="0"/>
                </c:manualLayout>
              </c:layout>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1">
                          <a:lumMod val="60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5006-48CD-9037-DC5A908C883C}"/>
                </c:ext>
              </c:extLst>
            </c:dLbl>
            <c:dLbl>
              <c:idx val="7"/>
              <c:layout>
                <c:manualLayout>
                  <c:x val="-5.9213884635017866E-2"/>
                  <c:y val="-1.1157602749514453E-2"/>
                </c:manualLayout>
              </c:layout>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2">
                          <a:lumMod val="60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5006-48CD-9037-DC5A908C883C}"/>
                </c:ext>
              </c:extLst>
            </c:dLbl>
            <c:dLbl>
              <c:idx val="8"/>
              <c:layout>
                <c:manualLayout>
                  <c:x val="-3.2669729453802962E-2"/>
                  <c:y val="-4.4630410998057847E-2"/>
                </c:manualLayout>
              </c:layout>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3">
                          <a:lumMod val="60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5006-48CD-9037-DC5A908C883C}"/>
                </c:ext>
              </c:extLst>
            </c:dLbl>
            <c:dLbl>
              <c:idx val="9"/>
              <c:layout>
                <c:manualLayout>
                  <c:x val="-0.11434405308831036"/>
                  <c:y val="-7.8103219246601199E-2"/>
                </c:manualLayout>
              </c:layout>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4">
                          <a:lumMod val="60000"/>
                        </a:schemeClr>
                      </a:solidFill>
                      <a:latin typeface="+mn-lt"/>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3-5006-48CD-9037-DC5A908C883C}"/>
                </c:ext>
              </c:extLst>
            </c:dLbl>
            <c:dLbl>
              <c:idx val="10"/>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5">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5-5006-48CD-9037-DC5A908C883C}"/>
                </c:ext>
              </c:extLst>
            </c:dLbl>
            <c:dLbl>
              <c:idx val="11"/>
              <c:numFmt formatCode="0.00%" sourceLinked="0"/>
              <c:spPr>
                <a:noFill/>
                <a:ln>
                  <a:noFill/>
                </a:ln>
                <a:effectLst/>
              </c:spPr>
              <c:txPr>
                <a:bodyPr rot="0" spcFirstLastPara="1" vertOverflow="ellipsis" vert="horz" wrap="square" lIns="38100" tIns="19050" rIns="38100" bIns="19050" anchor="ctr" anchorCtr="1">
                  <a:spAutoFit/>
                </a:bodyPr>
                <a:lstStyle/>
                <a:p>
                  <a:pPr>
                    <a:defRPr sz="1000" b="1" i="0" u="none" strike="noStrike" kern="1200" spc="0" baseline="0">
                      <a:solidFill>
                        <a:schemeClr val="accent6">
                          <a:lumMod val="60000"/>
                        </a:schemeClr>
                      </a:solidFill>
                      <a:latin typeface="+mn-lt"/>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7-5006-48CD-9037-DC5A908C883C}"/>
                </c:ext>
              </c:extLst>
            </c:dLbl>
            <c:numFmt formatCode="0.00%" sourceLinked="0"/>
            <c:spPr>
              <a:noFill/>
              <a:ln>
                <a:noFill/>
              </a:ln>
              <a:effectLst/>
            </c:sp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'Survey_HSD sectoral'!$C$6:$C$17</c:f>
              <c:strCache>
                <c:ptCount val="12"/>
                <c:pt idx="0">
                  <c:v>Commercial (taxis)</c:v>
                </c:pt>
                <c:pt idx="1">
                  <c:v>Private cars</c:v>
                </c:pt>
                <c:pt idx="2">
                  <c:v>3 - Wheelers</c:v>
                </c:pt>
                <c:pt idx="3">
                  <c:v>Truck:HCV/LCV</c:v>
                </c:pt>
                <c:pt idx="4">
                  <c:v>Buses</c:v>
                </c:pt>
                <c:pt idx="5">
                  <c:v>Aviation/shipping</c:v>
                </c:pt>
                <c:pt idx="6">
                  <c:v>Railways</c:v>
                </c:pt>
                <c:pt idx="7">
                  <c:v>Agriculture</c:v>
                </c:pt>
                <c:pt idx="8">
                  <c:v>Power Generation</c:v>
                </c:pt>
                <c:pt idx="9">
                  <c:v>Industry</c:v>
                </c:pt>
                <c:pt idx="10">
                  <c:v>Mobile towers</c:v>
                </c:pt>
                <c:pt idx="11">
                  <c:v>Others </c:v>
                </c:pt>
              </c:strCache>
            </c:strRef>
          </c:cat>
          <c:val>
            <c:numRef>
              <c:f>'Survey_HSD sectoral'!$D$6:$D$17</c:f>
              <c:numCache>
                <c:formatCode>0.00</c:formatCode>
                <c:ptCount val="12"/>
                <c:pt idx="0">
                  <c:v>2.9</c:v>
                </c:pt>
                <c:pt idx="1">
                  <c:v>12.4</c:v>
                </c:pt>
                <c:pt idx="2">
                  <c:v>1.2</c:v>
                </c:pt>
                <c:pt idx="3">
                  <c:v>55.4</c:v>
                </c:pt>
                <c:pt idx="4">
                  <c:v>5.9</c:v>
                </c:pt>
                <c:pt idx="5">
                  <c:v>0.8</c:v>
                </c:pt>
                <c:pt idx="6">
                  <c:v>2.1</c:v>
                </c:pt>
                <c:pt idx="7">
                  <c:v>4.8</c:v>
                </c:pt>
                <c:pt idx="8">
                  <c:v>1.6</c:v>
                </c:pt>
                <c:pt idx="9">
                  <c:v>6.3</c:v>
                </c:pt>
                <c:pt idx="10">
                  <c:v>0.3</c:v>
                </c:pt>
                <c:pt idx="11">
                  <c:v>6.3</c:v>
                </c:pt>
              </c:numCache>
            </c:numRef>
          </c:val>
          <c:extLst>
            <c:ext xmlns:c16="http://schemas.microsoft.com/office/drawing/2014/chart" uri="{C3380CC4-5D6E-409C-BE32-E72D297353CC}">
              <c16:uniqueId val="{00000018-5006-48CD-9037-DC5A908C883C}"/>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rgbClr val="F5E0B5"/>
    </a:solidFill>
    <a:ln w="25400"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[11]Charts!$B$107</c:f>
              <c:strCache>
                <c:ptCount val="1"/>
                <c:pt idx="0">
                  <c:v>LDO Sectoral Sales Apr-Mar'25 (838 TMT)</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927B-422A-9CB0-C51E2C88C2FE}"/>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927B-422A-9CB0-C51E2C88C2FE}"/>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927B-422A-9CB0-C51E2C88C2FE}"/>
              </c:ext>
            </c:extLst>
          </c:dPt>
          <c:dLbls>
            <c:spPr>
              <a:no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[11]Charts!$A$108:$A$110</c:f>
              <c:strCache>
                <c:ptCount val="3"/>
                <c:pt idx="0">
                  <c:v>Power Generation</c:v>
                </c:pt>
                <c:pt idx="1">
                  <c:v>Iron &amp; Steel (Metallurgy)</c:v>
                </c:pt>
                <c:pt idx="2">
                  <c:v>Miscellaneous</c:v>
                </c:pt>
              </c:strCache>
            </c:strRef>
          </c:cat>
          <c:val>
            <c:numRef>
              <c:f>[11]Charts!$B$108:$B$110</c:f>
              <c:numCache>
                <c:formatCode>General</c:formatCode>
                <c:ptCount val="3"/>
                <c:pt idx="0">
                  <c:v>338.92780192832788</c:v>
                </c:pt>
                <c:pt idx="1">
                  <c:v>43.816481535836147</c:v>
                </c:pt>
                <c:pt idx="2">
                  <c:v>455.43613895392537</c:v>
                </c:pt>
              </c:numCache>
            </c:numRef>
          </c:val>
          <c:extLst>
            <c:ext xmlns:c16="http://schemas.microsoft.com/office/drawing/2014/chart" uri="{C3380CC4-5D6E-409C-BE32-E72D297353CC}">
              <c16:uniqueId val="{00000006-927B-422A-9CB0-C51E2C88C2FE}"/>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[11]Charts!$C$107</c:f>
              <c:strCache>
                <c:ptCount val="1"/>
                <c:pt idx="0">
                  <c:v>LDO Sectoral Sales Apr-Mar'26 (1009 TMT)</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5965-4471-B837-FB28603A17EF}"/>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5965-4471-B837-FB28603A17EF}"/>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5965-4471-B837-FB28603A17EF}"/>
              </c:ext>
            </c:extLst>
          </c:dPt>
          <c:dLbls>
            <c:spPr>
              <a:no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[11]Charts!$A$108:$A$110</c:f>
              <c:strCache>
                <c:ptCount val="3"/>
                <c:pt idx="0">
                  <c:v>Power Generation</c:v>
                </c:pt>
                <c:pt idx="1">
                  <c:v>Iron &amp; Steel (Metallurgy)</c:v>
                </c:pt>
                <c:pt idx="2">
                  <c:v>Miscellaneous</c:v>
                </c:pt>
              </c:strCache>
            </c:strRef>
          </c:cat>
          <c:val>
            <c:numRef>
              <c:f>[11]Charts!$C$108:$C$110</c:f>
              <c:numCache>
                <c:formatCode>General</c:formatCode>
                <c:ptCount val="3"/>
                <c:pt idx="0">
                  <c:v>360.01358593856679</c:v>
                </c:pt>
                <c:pt idx="1">
                  <c:v>38.400174598976115</c:v>
                </c:pt>
                <c:pt idx="2">
                  <c:v>610.91716007679338</c:v>
                </c:pt>
              </c:numCache>
            </c:numRef>
          </c:val>
          <c:extLst>
            <c:ext xmlns:c16="http://schemas.microsoft.com/office/drawing/2014/chart" uri="{C3380CC4-5D6E-409C-BE32-E72D297353CC}">
              <c16:uniqueId val="{00000006-5965-4471-B837-FB28603A17EF}"/>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[11]Charts!$B$7</c:f>
              <c:strCache>
                <c:ptCount val="1"/>
                <c:pt idx="0">
                  <c:v>ATF Sectoral Sales Apr-Mar'25 (8985 TMT)</c:v>
                </c:pt>
              </c:strCache>
            </c:strRef>
          </c:tx>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C128-4713-B28D-B2F08DC70094}"/>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C128-4713-B28D-B2F08DC70094}"/>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C128-4713-B28D-B2F08DC70094}"/>
              </c:ext>
            </c:extLst>
          </c:dPt>
          <c:dLbls>
            <c:spPr>
              <a:no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[11]Charts!$A$8:$A$10</c:f>
              <c:strCache>
                <c:ptCount val="3"/>
                <c:pt idx="0">
                  <c:v>Military</c:v>
                </c:pt>
                <c:pt idx="1">
                  <c:v>International Aviation</c:v>
                </c:pt>
                <c:pt idx="2">
                  <c:v>Domestic Aviation</c:v>
                </c:pt>
              </c:strCache>
            </c:strRef>
          </c:cat>
          <c:val>
            <c:numRef>
              <c:f>[11]Charts!$B$8:$B$10</c:f>
              <c:numCache>
                <c:formatCode>General</c:formatCode>
                <c:ptCount val="3"/>
                <c:pt idx="0">
                  <c:v>122.99247373607007</c:v>
                </c:pt>
                <c:pt idx="1">
                  <c:v>2302.9710619798138</c:v>
                </c:pt>
                <c:pt idx="2">
                  <c:v>6558.7259226250762</c:v>
                </c:pt>
              </c:numCache>
            </c:numRef>
          </c:val>
          <c:extLst>
            <c:ext xmlns:c16="http://schemas.microsoft.com/office/drawing/2014/chart" uri="{C3380CC4-5D6E-409C-BE32-E72D297353CC}">
              <c16:uniqueId val="{00000006-C128-4713-B28D-B2F08DC70094}"/>
            </c:ext>
          </c:extLst>
        </c:ser>
        <c:dLbls>
          <c:dLblPos val="bestFit"/>
          <c:showLegendKey val="0"/>
          <c:showVal val="1"/>
          <c:showCatName val="0"/>
          <c:showSerName val="0"/>
          <c:showPercent val="0"/>
          <c:showBubbleSize val="0"/>
          <c:showLeaderLines val="1"/>
        </c:dLbls>
      </c:pie3DChart>
      <c:spPr>
        <a:solidFill>
          <a:schemeClr val="accent1">
            <a:lumMod val="20000"/>
            <a:lumOff val="80000"/>
          </a:schemeClr>
        </a:solid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[11]Charts!$C$7</c:f>
              <c:strCache>
                <c:ptCount val="1"/>
                <c:pt idx="0">
                  <c:v>ATF Sectoral Sales Apr-Mar'26 (9161 TMT)</c:v>
                </c:pt>
              </c:strCache>
            </c:strRef>
          </c:tx>
          <c:dPt>
            <c:idx val="0"/>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1-BB2F-4BA8-8758-4B32C7F5931F}"/>
              </c:ext>
            </c:extLst>
          </c:dPt>
          <c:dPt>
            <c:idx val="1"/>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3-BB2F-4BA8-8758-4B32C7F5931F}"/>
              </c:ext>
            </c:extLst>
          </c:dPt>
          <c:dPt>
            <c:idx val="2"/>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5-BB2F-4BA8-8758-4B32C7F5931F}"/>
              </c:ext>
            </c:extLst>
          </c:dPt>
          <c:dLbls>
            <c:spPr>
              <a:no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[11]Charts!$A$8:$A$10</c:f>
              <c:strCache>
                <c:ptCount val="3"/>
                <c:pt idx="0">
                  <c:v>Military</c:v>
                </c:pt>
                <c:pt idx="1">
                  <c:v>International Aviation</c:v>
                </c:pt>
                <c:pt idx="2">
                  <c:v>Domestic Aviation</c:v>
                </c:pt>
              </c:strCache>
            </c:strRef>
          </c:cat>
          <c:val>
            <c:numRef>
              <c:f>[11]Charts!$C$8:$C$10</c:f>
              <c:numCache>
                <c:formatCode>General</c:formatCode>
                <c:ptCount val="3"/>
                <c:pt idx="0">
                  <c:v>439.35066518362743</c:v>
                </c:pt>
                <c:pt idx="1">
                  <c:v>3592.6230547437913</c:v>
                </c:pt>
                <c:pt idx="2">
                  <c:v>5129.4248027850308</c:v>
                </c:pt>
              </c:numCache>
            </c:numRef>
          </c:val>
          <c:extLst>
            <c:ext xmlns:c16="http://schemas.microsoft.com/office/drawing/2014/chart" uri="{C3380CC4-5D6E-409C-BE32-E72D297353CC}">
              <c16:uniqueId val="{00000006-BB2F-4BA8-8758-4B32C7F5931F}"/>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[11]Charts!$B$134</c:f>
              <c:strCache>
                <c:ptCount val="1"/>
                <c:pt idx="0">
                  <c:v>LPG Sectoral Apr-Mar'25 (31328 TMT)</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6160-442B-B460-D1AB12236A7A}"/>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6160-442B-B460-D1AB12236A7A}"/>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6160-442B-B460-D1AB12236A7A}"/>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6160-442B-B460-D1AB12236A7A}"/>
              </c:ext>
            </c:extLst>
          </c:dPt>
          <c:dLbls>
            <c:dLbl>
              <c:idx val="0"/>
              <c:layout>
                <c:manualLayout>
                  <c:x val="-0.37296755277900523"/>
                  <c:y val="7.7789376156927575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6160-442B-B460-D1AB12236A7A}"/>
                </c:ext>
              </c:extLst>
            </c:dLbl>
            <c:dLbl>
              <c:idx val="1"/>
              <c:layout>
                <c:manualLayout>
                  <c:x val="9.9131288756078392E-2"/>
                  <c:y val="0.10648156827710743"/>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6160-442B-B460-D1AB12236A7A}"/>
                </c:ext>
              </c:extLst>
            </c:dLbl>
            <c:dLbl>
              <c:idx val="2"/>
              <c:layout>
                <c:manualLayout>
                  <c:x val="6.136142700890166E-2"/>
                  <c:y val="-7.4908549864268273E-2"/>
                </c:manualLayout>
              </c:layout>
              <c:dLblPos val="bestFit"/>
              <c:showLegendKey val="0"/>
              <c:showVal val="0"/>
              <c:showCatName val="1"/>
              <c:showSerName val="0"/>
              <c:showPercent val="1"/>
              <c:showBubbleSize val="0"/>
              <c:extLst>
                <c:ext xmlns:c15="http://schemas.microsoft.com/office/drawing/2012/chart" uri="{CE6537A1-D6FC-4f65-9D91-7224C49458BB}">
                  <c15:layout>
                    <c:manualLayout>
                      <c:w val="0.19256933508311458"/>
                      <c:h val="0.13412037037037036"/>
                    </c:manualLayout>
                  </c15:layout>
                </c:ext>
                <c:ext xmlns:c16="http://schemas.microsoft.com/office/drawing/2014/chart" uri="{C3380CC4-5D6E-409C-BE32-E72D297353CC}">
                  <c16:uniqueId val="{00000005-6160-442B-B460-D1AB12236A7A}"/>
                </c:ext>
              </c:extLst>
            </c:dLbl>
            <c:dLbl>
              <c:idx val="3"/>
              <c:layout>
                <c:manualLayout>
                  <c:x val="0.17663446086448137"/>
                  <c:y val="-0.31170835486384491"/>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6160-442B-B460-D1AB12236A7A}"/>
                </c:ext>
              </c:extLst>
            </c:dLbl>
            <c:numFmt formatCode="0.0%" sourceLinked="0"/>
            <c:spPr>
              <a:noFill/>
              <a:ln>
                <a:noFill/>
              </a:ln>
              <a:effectLst/>
            </c:spPr>
            <c:txPr>
              <a:bodyPr rot="0" spcFirstLastPara="1" vertOverflow="ellipsis" vert="horz" wrap="square" anchor="ctr" anchorCtr="1"/>
              <a:lstStyle/>
              <a:p>
                <a:pPr>
                  <a:defRPr sz="900" b="0"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[11]Charts!$A$135:$A$138</c:f>
              <c:strCache>
                <c:ptCount val="4"/>
                <c:pt idx="0">
                  <c:v>Non-Domestic/Industry/Commercial</c:v>
                </c:pt>
                <c:pt idx="1">
                  <c:v>Bulk &amp; Pvt Imports</c:v>
                </c:pt>
                <c:pt idx="2">
                  <c:v>Auto LPG</c:v>
                </c:pt>
                <c:pt idx="3">
                  <c:v>Domestic</c:v>
                </c:pt>
              </c:strCache>
            </c:strRef>
          </c:cat>
          <c:val>
            <c:numRef>
              <c:f>[11]Charts!$B$135:$B$138</c:f>
              <c:numCache>
                <c:formatCode>General</c:formatCode>
                <c:ptCount val="4"/>
                <c:pt idx="0">
                  <c:v>2679.7696484310181</c:v>
                </c:pt>
                <c:pt idx="1">
                  <c:v>921.71147200000019</c:v>
                </c:pt>
                <c:pt idx="2">
                  <c:v>73.175174222000081</c:v>
                </c:pt>
                <c:pt idx="3">
                  <c:v>27653.521976959164</c:v>
                </c:pt>
              </c:numCache>
            </c:numRef>
          </c:val>
          <c:extLst>
            <c:ext xmlns:c16="http://schemas.microsoft.com/office/drawing/2014/chart" uri="{C3380CC4-5D6E-409C-BE32-E72D297353CC}">
              <c16:uniqueId val="{00000008-6160-442B-B460-D1AB12236A7A}"/>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dk1"/>
                </a:solidFill>
                <a:latin typeface="+mn-lt"/>
                <a:ea typeface="+mn-ea"/>
                <a:cs typeface="+mn-cs"/>
              </a:defRPr>
            </a:pPr>
            <a:r>
              <a:rPr lang="en-IN"/>
              <a:t>LPG Sectoral Apr-Mar'26 (33169 TMT)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[11]Charts!$C$134</c:f>
              <c:strCache>
                <c:ptCount val="1"/>
                <c:pt idx="0">
                  <c:v>LPG Sectoral Apr-Mar'26 (33212 TMT)</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EC12-474E-8680-051826603175}"/>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EC12-474E-8680-051826603175}"/>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EC12-474E-8680-051826603175}"/>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EC12-474E-8680-051826603175}"/>
              </c:ext>
            </c:extLst>
          </c:dPt>
          <c:dLbls>
            <c:dLbl>
              <c:idx val="0"/>
              <c:layout>
                <c:manualLayout>
                  <c:x val="-0.49231934499480001"/>
                  <c:y val="9.2721018386457466E-2"/>
                </c:manualLayout>
              </c:layout>
              <c:dLblPos val="bestFit"/>
              <c:showLegendKey val="0"/>
              <c:showVal val="0"/>
              <c:showCatName val="1"/>
              <c:showSerName val="0"/>
              <c:showPercent val="1"/>
              <c:showBubbleSize val="0"/>
              <c:extLst>
                <c:ext xmlns:c15="http://schemas.microsoft.com/office/drawing/2012/chart" uri="{CE6537A1-D6FC-4f65-9D91-7224C49458BB}">
                  <c15:layout>
                    <c:manualLayout>
                      <c:w val="0.42694765343399005"/>
                      <c:h val="0.22988950123437787"/>
                    </c:manualLayout>
                  </c15:layout>
                </c:ext>
                <c:ext xmlns:c16="http://schemas.microsoft.com/office/drawing/2014/chart" uri="{C3380CC4-5D6E-409C-BE32-E72D297353CC}">
                  <c16:uniqueId val="{00000001-EC12-474E-8680-051826603175}"/>
                </c:ext>
              </c:extLst>
            </c:dLbl>
            <c:dLbl>
              <c:idx val="1"/>
              <c:layout>
                <c:manualLayout>
                  <c:x val="9.7222222222222224E-2"/>
                  <c:y val="-9.9650436072172797E-3"/>
                </c:manualLayout>
              </c:layout>
              <c:dLblPos val="bestFit"/>
              <c:showLegendKey val="0"/>
              <c:showVal val="0"/>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3-EC12-474E-8680-051826603175}"/>
                </c:ext>
              </c:extLst>
            </c:dLbl>
            <c:dLbl>
              <c:idx val="2"/>
              <c:layout>
                <c:manualLayout>
                  <c:x val="0.10277777777777777"/>
                  <c:y val="0.11542918682249917"/>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EC12-474E-8680-051826603175}"/>
                </c:ext>
              </c:extLst>
            </c:dLbl>
            <c:dLbl>
              <c:idx val="3"/>
              <c:layout>
                <c:manualLayout>
                  <c:x val="0.15555557526629454"/>
                  <c:y val="-0.28464411675988621"/>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EC12-474E-8680-051826603175}"/>
                </c:ext>
              </c:extLst>
            </c:dLbl>
            <c:numFmt formatCode="0.0%" sourceLinked="0"/>
            <c:spPr>
              <a:noFill/>
              <a:ln>
                <a:noFill/>
              </a:ln>
              <a:effectLst/>
            </c:spPr>
            <c:txPr>
              <a:bodyPr rot="0" spcFirstLastPara="1" vertOverflow="ellipsis" vert="horz" wrap="square" anchor="ctr" anchorCtr="1"/>
              <a:lstStyle/>
              <a:p>
                <a:pPr>
                  <a:defRPr sz="900" b="0"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[11]Charts!$A$135:$A$138</c:f>
              <c:strCache>
                <c:ptCount val="4"/>
                <c:pt idx="0">
                  <c:v>Non-Domestic/Industry/Commercial</c:v>
                </c:pt>
                <c:pt idx="1">
                  <c:v>Bulk &amp; Pvt Imports</c:v>
                </c:pt>
                <c:pt idx="2">
                  <c:v>Auto LPG</c:v>
                </c:pt>
                <c:pt idx="3">
                  <c:v>Domestic</c:v>
                </c:pt>
              </c:strCache>
            </c:strRef>
          </c:cat>
          <c:val>
            <c:numRef>
              <c:f>[11]Charts!$C$135:$C$138</c:f>
              <c:numCache>
                <c:formatCode>General</c:formatCode>
                <c:ptCount val="4"/>
                <c:pt idx="0">
                  <c:v>2989.556930270096</c:v>
                </c:pt>
                <c:pt idx="1">
                  <c:v>1405.6456154999971</c:v>
                </c:pt>
                <c:pt idx="2">
                  <c:v>69.132856675999946</c:v>
                </c:pt>
                <c:pt idx="3">
                  <c:v>28747.40428821617</c:v>
                </c:pt>
              </c:numCache>
            </c:numRef>
          </c:val>
          <c:extLst>
            <c:ext xmlns:c16="http://schemas.microsoft.com/office/drawing/2014/chart" uri="{C3380CC4-5D6E-409C-BE32-E72D297353CC}">
              <c16:uniqueId val="{00000008-EC12-474E-8680-051826603175}"/>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[11]Charts!$B$247</c:f>
              <c:strCache>
                <c:ptCount val="1"/>
                <c:pt idx="0">
                  <c:v>SKO Non-PDS Sectoral Sales Apr-Mar'25 (177 TMT)</c:v>
                </c:pt>
              </c:strCache>
            </c:strRef>
          </c:tx>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B500-40E8-BF36-D55473C43A32}"/>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B500-40E8-BF36-D55473C43A32}"/>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B500-40E8-BF36-D55473C43A32}"/>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B500-40E8-BF36-D55473C43A32}"/>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B500-40E8-BF36-D55473C43A32}"/>
              </c:ext>
            </c:extLst>
          </c:dPt>
          <c:dLbls>
            <c:dLbl>
              <c:idx val="1"/>
              <c:layout>
                <c:manualLayout>
                  <c:x val="3.6752782648673689E-2"/>
                  <c:y val="-0.14285714285714293"/>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B500-40E8-BF36-D55473C43A32}"/>
                </c:ext>
              </c:extLst>
            </c:dLbl>
            <c:dLbl>
              <c:idx val="2"/>
              <c:layout>
                <c:manualLayout>
                  <c:x val="9.5557234886551587E-2"/>
                  <c:y val="-0.11904761904761904"/>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B500-40E8-BF36-D55473C43A32}"/>
                </c:ext>
              </c:extLst>
            </c:dLbl>
            <c:dLbl>
              <c:idx val="3"/>
              <c:layout>
                <c:manualLayout>
                  <c:x val="3.430259713876202E-2"/>
                  <c:y val="1.4285714285714285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B500-40E8-BF36-D55473C43A32}"/>
                </c:ext>
              </c:extLst>
            </c:dLbl>
            <c:spPr>
              <a:no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[11]Charts!$A$248:$A$252</c:f>
              <c:strCache>
                <c:ptCount val="5"/>
                <c:pt idx="0">
                  <c:v>Agriculture</c:v>
                </c:pt>
                <c:pt idx="1">
                  <c:v>Manufacture</c:v>
                </c:pt>
                <c:pt idx="2">
                  <c:v>Railways</c:v>
                </c:pt>
                <c:pt idx="3">
                  <c:v>Road Transport</c:v>
                </c:pt>
                <c:pt idx="4">
                  <c:v>Power Generation</c:v>
                </c:pt>
              </c:strCache>
            </c:strRef>
          </c:cat>
          <c:val>
            <c:numRef>
              <c:f>[11]Charts!$B$248:$B$252</c:f>
              <c:numCache>
                <c:formatCode>General</c:formatCode>
                <c:ptCount val="5"/>
                <c:pt idx="0">
                  <c:v>31.532270591439698</c:v>
                </c:pt>
                <c:pt idx="1">
                  <c:v>22.77663989105055</c:v>
                </c:pt>
                <c:pt idx="2">
                  <c:v>2.6785992217898791</c:v>
                </c:pt>
                <c:pt idx="3">
                  <c:v>2.0326070038910505E-2</c:v>
                </c:pt>
                <c:pt idx="4">
                  <c:v>119.74514597665366</c:v>
                </c:pt>
              </c:numCache>
            </c:numRef>
          </c:val>
          <c:extLst>
            <c:ext xmlns:c16="http://schemas.microsoft.com/office/drawing/2014/chart" uri="{C3380CC4-5D6E-409C-BE32-E72D297353CC}">
              <c16:uniqueId val="{0000000A-B500-40E8-BF36-D55473C43A32}"/>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[11]Charts!$C$247</c:f>
              <c:strCache>
                <c:ptCount val="1"/>
                <c:pt idx="0">
                  <c:v>SKO Non-PDS Sectoral Sales Apr-Mar'26 (176 TMT)</c:v>
                </c:pt>
              </c:strCache>
            </c:strRef>
          </c:tx>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B7F0-46BA-A85E-160444E74AAC}"/>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B7F0-46BA-A85E-160444E74AAC}"/>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B7F0-46BA-A85E-160444E74AAC}"/>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B7F0-46BA-A85E-160444E74AAC}"/>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B7F0-46BA-A85E-160444E74AAC}"/>
              </c:ext>
            </c:extLst>
          </c:dPt>
          <c:dLbls>
            <c:dLbl>
              <c:idx val="2"/>
              <c:layout>
                <c:manualLayout>
                  <c:x val="0"/>
                  <c:y val="-6.4814814814814811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B7F0-46BA-A85E-160444E74AAC}"/>
                </c:ext>
              </c:extLst>
            </c:dLbl>
            <c:dLbl>
              <c:idx val="3"/>
              <c:layout>
                <c:manualLayout>
                  <c:x val="-5.0738687370181874E-3"/>
                  <c:y val="5.8165548098433925E-2"/>
                </c:manualLayout>
              </c:layout>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B7F0-46BA-A85E-160444E74AAC}"/>
                </c:ext>
              </c:extLst>
            </c:dLbl>
            <c:spPr>
              <a:no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[11]Charts!$A$248:$A$252</c:f>
              <c:strCache>
                <c:ptCount val="5"/>
                <c:pt idx="0">
                  <c:v>Agriculture</c:v>
                </c:pt>
                <c:pt idx="1">
                  <c:v>Manufacture</c:v>
                </c:pt>
                <c:pt idx="2">
                  <c:v>Railways</c:v>
                </c:pt>
                <c:pt idx="3">
                  <c:v>Road Transport</c:v>
                </c:pt>
                <c:pt idx="4">
                  <c:v>Power Generation</c:v>
                </c:pt>
              </c:strCache>
            </c:strRef>
          </c:cat>
          <c:val>
            <c:numRef>
              <c:f>[11]Charts!$C$248:$C$252</c:f>
              <c:numCache>
                <c:formatCode>General</c:formatCode>
                <c:ptCount val="5"/>
                <c:pt idx="0">
                  <c:v>29.277048568093377</c:v>
                </c:pt>
                <c:pt idx="1">
                  <c:v>25.02646028015559</c:v>
                </c:pt>
                <c:pt idx="2">
                  <c:v>1.5618677042801534</c:v>
                </c:pt>
                <c:pt idx="3">
                  <c:v>5.6848249027237358E-3</c:v>
                </c:pt>
                <c:pt idx="4">
                  <c:v>120.57406842023424</c:v>
                </c:pt>
              </c:numCache>
            </c:numRef>
          </c:val>
          <c:extLst>
            <c:ext xmlns:c16="http://schemas.microsoft.com/office/drawing/2014/chart" uri="{C3380CC4-5D6E-409C-BE32-E72D297353CC}">
              <c16:uniqueId val="{0000000A-B7F0-46BA-A85E-160444E74AAC}"/>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[11]Charts!$B$259</c:f>
              <c:strCache>
                <c:ptCount val="1"/>
                <c:pt idx="0">
                  <c:v>SKO Segment Sales Apr-Mar'25 (408 TMT)</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5D10-4799-804C-8B3B7623E9FE}"/>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5D10-4799-804C-8B3B7623E9FE}"/>
              </c:ext>
            </c:extLst>
          </c:dPt>
          <c:dLbls>
            <c:spPr>
              <a:no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[11]Charts!$A$260:$A$261</c:f>
              <c:strCache>
                <c:ptCount val="2"/>
                <c:pt idx="0">
                  <c:v>Domestic</c:v>
                </c:pt>
                <c:pt idx="1">
                  <c:v>Commercial/Industry/Others</c:v>
                </c:pt>
              </c:strCache>
            </c:strRef>
          </c:cat>
          <c:val>
            <c:numRef>
              <c:f>[11]Charts!$B$260:$B$261</c:f>
              <c:numCache>
                <c:formatCode>General</c:formatCode>
                <c:ptCount val="2"/>
                <c:pt idx="0">
                  <c:v>230.99195924357869</c:v>
                </c:pt>
                <c:pt idx="1">
                  <c:v>176.75298175097271</c:v>
                </c:pt>
              </c:numCache>
            </c:numRef>
          </c:val>
          <c:extLst>
            <c:ext xmlns:c16="http://schemas.microsoft.com/office/drawing/2014/chart" uri="{C3380CC4-5D6E-409C-BE32-E72D297353CC}">
              <c16:uniqueId val="{00000004-5D10-4799-804C-8B3B7623E9FE}"/>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[11]Charts!$C$259</c:f>
              <c:strCache>
                <c:ptCount val="1"/>
                <c:pt idx="0">
                  <c:v>SKO Segment Sales Apr-Mar'26 (460 TMT)</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572-44C3-89F4-EED672AF873A}"/>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572-44C3-89F4-EED672AF873A}"/>
              </c:ext>
            </c:extLst>
          </c:dPt>
          <c:dLbls>
            <c:spPr>
              <a:noFill/>
              <a:ln>
                <a:noFill/>
              </a:ln>
              <a:effectLst/>
            </c:spPr>
            <c:txPr>
              <a:bodyPr rot="0" spcFirstLastPara="1" vertOverflow="ellipsis" vert="horz" wrap="square" anchor="ctr" anchorCtr="1"/>
              <a:lstStyle/>
              <a:p>
                <a:pPr>
                  <a:defRPr sz="9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[11]Charts!$A$260:$A$261</c:f>
              <c:strCache>
                <c:ptCount val="2"/>
                <c:pt idx="0">
                  <c:v>Domestic</c:v>
                </c:pt>
                <c:pt idx="1">
                  <c:v>Commercial/Industry/Others</c:v>
                </c:pt>
              </c:strCache>
            </c:strRef>
          </c:cat>
          <c:val>
            <c:numRef>
              <c:f>[11]Charts!$C$260:$C$261</c:f>
              <c:numCache>
                <c:formatCode>General</c:formatCode>
                <c:ptCount val="2"/>
                <c:pt idx="0">
                  <c:v>283.19811261478674</c:v>
                </c:pt>
                <c:pt idx="1">
                  <c:v>176.44512979766608</c:v>
                </c:pt>
              </c:numCache>
            </c:numRef>
          </c:val>
          <c:extLst>
            <c:ext xmlns:c16="http://schemas.microsoft.com/office/drawing/2014/chart" uri="{C3380CC4-5D6E-409C-BE32-E72D297353CC}">
              <c16:uniqueId val="{00000004-A572-44C3-89F4-EED672AF873A}"/>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320" b="1" i="0" u="none" strike="noStrike" kern="1200" spc="0" baseline="0">
              <a:solidFill>
                <a:schemeClr val="dk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[11]Charts!$B$80</c:f>
              <c:strCache>
                <c:ptCount val="1"/>
                <c:pt idx="0">
                  <c:v>Direct Sales HSD Apr-Mar'25 (11317 TMT)</c:v>
                </c:pt>
              </c:strCache>
            </c:strRef>
          </c:tx>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900E-4BCE-8737-9FE09247F262}"/>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900E-4BCE-8737-9FE09247F262}"/>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900E-4BCE-8737-9FE09247F262}"/>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900E-4BCE-8737-9FE09247F262}"/>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900E-4BCE-8737-9FE09247F262}"/>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900E-4BCE-8737-9FE09247F262}"/>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900E-4BCE-8737-9FE09247F262}"/>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900E-4BCE-8737-9FE09247F262}"/>
              </c:ext>
            </c:extLst>
          </c:dPt>
          <c:dLbls>
            <c:spPr>
              <a:noFill/>
              <a:ln>
                <a:noFill/>
              </a:ln>
              <a:effectLst/>
            </c:spPr>
            <c:txPr>
              <a:bodyPr rot="0" spcFirstLastPara="1" vertOverflow="ellipsis" vert="horz" wrap="square" anchor="ctr" anchorCtr="1"/>
              <a:lstStyle/>
              <a:p>
                <a:pPr>
                  <a:defRPr sz="1100" b="1" i="0" u="none" strike="noStrike" kern="1200" baseline="0">
                    <a:solidFill>
                      <a:schemeClr val="dk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[11]Charts!$A$81:$A$88</c:f>
              <c:strCache>
                <c:ptCount val="8"/>
                <c:pt idx="0">
                  <c:v>Agriculture</c:v>
                </c:pt>
                <c:pt idx="1">
                  <c:v>Manufacturing</c:v>
                </c:pt>
                <c:pt idx="2">
                  <c:v>Mining &amp; Quarrying</c:v>
                </c:pt>
                <c:pt idx="3">
                  <c:v>Power Generation</c:v>
                </c:pt>
                <c:pt idx="4">
                  <c:v>Railways</c:v>
                </c:pt>
                <c:pt idx="5">
                  <c:v>Road Transport</c:v>
                </c:pt>
                <c:pt idx="6">
                  <c:v>Shipping</c:v>
                </c:pt>
                <c:pt idx="7">
                  <c:v>Misc</c:v>
                </c:pt>
              </c:strCache>
            </c:strRef>
          </c:cat>
          <c:val>
            <c:numRef>
              <c:f>[11]Charts!$B$81:$B$88</c:f>
              <c:numCache>
                <c:formatCode>General</c:formatCode>
                <c:ptCount val="8"/>
                <c:pt idx="0">
                  <c:v>464.25711065289283</c:v>
                </c:pt>
                <c:pt idx="1">
                  <c:v>1313.3441897768639</c:v>
                </c:pt>
                <c:pt idx="2">
                  <c:v>1555.5250305826289</c:v>
                </c:pt>
                <c:pt idx="3">
                  <c:v>197.96640843801791</c:v>
                </c:pt>
                <c:pt idx="4">
                  <c:v>1210.0299411983422</c:v>
                </c:pt>
                <c:pt idx="5">
                  <c:v>2274.6915142016564</c:v>
                </c:pt>
                <c:pt idx="6">
                  <c:v>764.2702758727246</c:v>
                </c:pt>
                <c:pt idx="7">
                  <c:v>3536.9662605000772</c:v>
                </c:pt>
              </c:numCache>
            </c:numRef>
          </c:val>
          <c:extLst>
            <c:ext xmlns:c16="http://schemas.microsoft.com/office/drawing/2014/chart" uri="{C3380CC4-5D6E-409C-BE32-E72D297353CC}">
              <c16:uniqueId val="{00000010-900E-4BCE-8737-9FE09247F262}"/>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sz="1100" b="1">
          <a:solidFill>
            <a:schemeClr val="dk1"/>
          </a:solidFill>
          <a:latin typeface="+mn-lt"/>
          <a:ea typeface="+mn-ea"/>
          <a:cs typeface="+mn-cs"/>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[11]Charts!$C$80</c:f>
              <c:strCache>
                <c:ptCount val="1"/>
                <c:pt idx="0">
                  <c:v>Direct Sales HSD Apr-Mar'26 (12130 TMT)</c:v>
                </c:pt>
              </c:strCache>
            </c:strRef>
          </c:tx>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29C3-47F8-9435-21ECCB357C8A}"/>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29C3-47F8-9435-21ECCB357C8A}"/>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29C3-47F8-9435-21ECCB357C8A}"/>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29C3-47F8-9435-21ECCB357C8A}"/>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29C3-47F8-9435-21ECCB357C8A}"/>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29C3-47F8-9435-21ECCB357C8A}"/>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29C3-47F8-9435-21ECCB357C8A}"/>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29C3-47F8-9435-21ECCB357C8A}"/>
              </c:ext>
            </c:extLst>
          </c:dPt>
          <c:dLbls>
            <c:delete val="1"/>
          </c:dLbls>
          <c:cat>
            <c:strRef>
              <c:f>[11]Charts!$A$81:$A$88</c:f>
              <c:strCache>
                <c:ptCount val="8"/>
                <c:pt idx="0">
                  <c:v>Agriculture</c:v>
                </c:pt>
                <c:pt idx="1">
                  <c:v>Manufacturing</c:v>
                </c:pt>
                <c:pt idx="2">
                  <c:v>Mining &amp; Quarrying</c:v>
                </c:pt>
                <c:pt idx="3">
                  <c:v>Power Generation</c:v>
                </c:pt>
                <c:pt idx="4">
                  <c:v>Railways</c:v>
                </c:pt>
                <c:pt idx="5">
                  <c:v>Road Transport</c:v>
                </c:pt>
                <c:pt idx="6">
                  <c:v>Shipping</c:v>
                </c:pt>
                <c:pt idx="7">
                  <c:v>Misc</c:v>
                </c:pt>
              </c:strCache>
            </c:strRef>
          </c:cat>
          <c:val>
            <c:numRef>
              <c:f>[11]Charts!$C$81:$C$88</c:f>
              <c:numCache>
                <c:formatCode>General</c:formatCode>
                <c:ptCount val="8"/>
                <c:pt idx="0">
                  <c:v>515.37632682643834</c:v>
                </c:pt>
                <c:pt idx="1">
                  <c:v>1446.2535859611494</c:v>
                </c:pt>
                <c:pt idx="2">
                  <c:v>1561.5784644016665</c:v>
                </c:pt>
                <c:pt idx="3">
                  <c:v>207.30686411570238</c:v>
                </c:pt>
                <c:pt idx="4">
                  <c:v>1052.6016612727285</c:v>
                </c:pt>
                <c:pt idx="5">
                  <c:v>2313.9757687710598</c:v>
                </c:pt>
                <c:pt idx="6">
                  <c:v>847.75018807521121</c:v>
                </c:pt>
                <c:pt idx="7">
                  <c:v>4184.6598374075647</c:v>
                </c:pt>
              </c:numCache>
            </c:numRef>
          </c:val>
          <c:extLst>
            <c:ext xmlns:c16="http://schemas.microsoft.com/office/drawing/2014/chart" uri="{C3380CC4-5D6E-409C-BE32-E72D297353CC}">
              <c16:uniqueId val="{00000010-29C3-47F8-9435-21ECCB357C8A}"/>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b="1">
          <a:solidFill>
            <a:schemeClr val="tx1"/>
          </a:solidFill>
          <a:latin typeface="+mn-lt"/>
          <a:ea typeface="+mn-ea"/>
          <a:cs typeface="+mn-cs"/>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[11]Charts!$B$74</c:f>
              <c:strCache>
                <c:ptCount val="1"/>
                <c:pt idx="0">
                  <c:v>HSD Segment Apr-Mar'25 (91407 TMT)</c:v>
                </c:pt>
              </c:strCache>
            </c:strRef>
          </c:tx>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0075-4850-A419-7F1383DAB917}"/>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0075-4850-A419-7F1383DAB917}"/>
              </c:ext>
            </c:extLst>
          </c:dPt>
          <c:dLbls>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[11]Charts!$A$75:$A$76</c:f>
              <c:strCache>
                <c:ptCount val="2"/>
                <c:pt idx="0">
                  <c:v>Retail</c:v>
                </c:pt>
                <c:pt idx="1">
                  <c:v>Direct Sales</c:v>
                </c:pt>
              </c:strCache>
            </c:strRef>
          </c:cat>
          <c:val>
            <c:numRef>
              <c:f>[11]Charts!$B$75:$B$76</c:f>
              <c:numCache>
                <c:formatCode>General</c:formatCode>
                <c:ptCount val="2"/>
                <c:pt idx="0">
                  <c:v>80090.284311255149</c:v>
                </c:pt>
                <c:pt idx="1">
                  <c:v>11317.050731223206</c:v>
                </c:pt>
              </c:numCache>
            </c:numRef>
          </c:val>
          <c:extLst>
            <c:ext xmlns:c16="http://schemas.microsoft.com/office/drawing/2014/chart" uri="{C3380CC4-5D6E-409C-BE32-E72D297353CC}">
              <c16:uniqueId val="{00000004-0075-4850-A419-7F1383DAB917}"/>
            </c:ext>
          </c:extLst>
        </c:ser>
        <c:dLbls>
          <c:dLblPos val="outEnd"/>
          <c:showLegendKey val="0"/>
          <c:showVal val="1"/>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solidFill>
      <a:round/>
    </a:ln>
    <a:effectLst/>
  </c:spPr>
  <c:txPr>
    <a:bodyPr/>
    <a:lstStyle/>
    <a:p>
      <a:pPr>
        <a:defRPr b="1">
          <a:solidFill>
            <a:schemeClr val="tx1"/>
          </a:solidFill>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r>
              <a:rPr lang="en-IN"/>
              <a:t>HSD Segment Apr-Mar'26 (94708 TMT)</a:t>
            </a: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[11]Charts!$C$74</c:f>
              <c:strCache>
                <c:ptCount val="1"/>
                <c:pt idx="0">
                  <c:v>HSD Segment Apr-Mar'26 (94705 TMT)</c:v>
                </c:pt>
              </c:strCache>
            </c:strRef>
          </c:tx>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0CAF-4C20-9373-F8A4646FD8F7}"/>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0CAF-4C20-9373-F8A4646FD8F7}"/>
              </c:ext>
            </c:extLst>
          </c:dPt>
          <c:dLbls>
            <c:dLbl>
              <c:idx val="1"/>
              <c:layout>
                <c:manualLayout>
                  <c:x val="0.20700912822446163"/>
                  <c:y val="2.4414060622836306E-3"/>
                </c:manualLayout>
              </c:layout>
              <c:dLblPos val="bestFit"/>
              <c:showLegendKey val="0"/>
              <c:showVal val="0"/>
              <c:showCatName val="1"/>
              <c:showSerName val="0"/>
              <c:showPercent val="1"/>
              <c:showBubbleSize val="0"/>
              <c:extLst>
                <c:ext xmlns:c15="http://schemas.microsoft.com/office/drawing/2012/chart" uri="{CE6537A1-D6FC-4f65-9D91-7224C49458BB}">
                  <c15:layout>
                    <c:manualLayout>
                      <c:w val="0.39857617470581908"/>
                      <c:h val="0.12184117501196577"/>
                    </c:manualLayout>
                  </c15:layout>
                </c:ext>
                <c:ext xmlns:c16="http://schemas.microsoft.com/office/drawing/2014/chart" uri="{C3380CC4-5D6E-409C-BE32-E72D297353CC}">
                  <c16:uniqueId val="{00000003-0CAF-4C20-9373-F8A4646FD8F7}"/>
                </c:ext>
              </c:extLst>
            </c:dLbl>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[11]Charts!$A$75:$A$76</c:f>
              <c:strCache>
                <c:ptCount val="2"/>
                <c:pt idx="0">
                  <c:v>Retail</c:v>
                </c:pt>
                <c:pt idx="1">
                  <c:v>Direct Sales</c:v>
                </c:pt>
              </c:strCache>
            </c:strRef>
          </c:cat>
          <c:val>
            <c:numRef>
              <c:f>[11]Charts!$C$75:$C$76</c:f>
              <c:numCache>
                <c:formatCode>General</c:formatCode>
                <c:ptCount val="2"/>
                <c:pt idx="0">
                  <c:v>82575.32050149898</c:v>
                </c:pt>
                <c:pt idx="1">
                  <c:v>12129.50269683152</c:v>
                </c:pt>
              </c:numCache>
            </c:numRef>
          </c:val>
          <c:extLst>
            <c:ext xmlns:c16="http://schemas.microsoft.com/office/drawing/2014/chart" uri="{C3380CC4-5D6E-409C-BE32-E72D297353CC}">
              <c16:uniqueId val="{00000004-0CAF-4C20-9373-F8A4646FD8F7}"/>
            </c:ext>
          </c:extLst>
        </c:ser>
        <c:dLbls>
          <c:dLblPos val="outEnd"/>
          <c:showLegendKey val="0"/>
          <c:showVal val="1"/>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1" i="0" u="none" strike="noStrike" kern="1200" baseline="0">
              <a:solidFill>
                <a:schemeClr val="tx1"/>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solidFill>
      <a:round/>
    </a:ln>
    <a:effectLst/>
  </c:spPr>
  <c:txPr>
    <a:bodyPr/>
    <a:lstStyle/>
    <a:p>
      <a:pPr>
        <a:defRPr b="1">
          <a:solidFill>
            <a:schemeClr val="tx1"/>
          </a:solidFill>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baseline="0">
                <a:solidFill>
                  <a:schemeClr val="tx1">
                    <a:lumMod val="65000"/>
                    <a:lumOff val="35000"/>
                  </a:schemeClr>
                </a:solidFill>
                <a:latin typeface="Book Antiqua" panose="02040602050305030304" pitchFamily="18" charset="0"/>
                <a:ea typeface="+mn-ea"/>
                <a:cs typeface="+mn-cs"/>
              </a:defRPr>
            </a:pPr>
            <a:r>
              <a:rPr lang="en-IN" sz="1400"/>
              <a:t>Survey based  diesel consumption_sectoral</a:t>
            </a:r>
          </a:p>
        </c:rich>
      </c:tx>
      <c:overlay val="0"/>
      <c:spPr>
        <a:noFill/>
        <a:ln>
          <a:noFill/>
        </a:ln>
        <a:effectLst/>
      </c:spPr>
      <c:txPr>
        <a:bodyPr rot="0" spcFirstLastPara="1" vertOverflow="ellipsis" vert="horz" wrap="square" anchor="ctr" anchorCtr="1"/>
        <a:lstStyle/>
        <a:p>
          <a:pPr>
            <a:defRPr sz="1400" b="1" i="0" u="none" strike="noStrike" kern="1200" cap="all" baseline="0">
              <a:solidFill>
                <a:schemeClr val="tx1">
                  <a:lumMod val="65000"/>
                  <a:lumOff val="35000"/>
                </a:schemeClr>
              </a:solidFill>
              <a:latin typeface="Book Antiqua" panose="02040602050305030304" pitchFamily="18" charset="0"/>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explosion val="77"/>
          <c:dPt>
            <c:idx val="0"/>
            <c:bubble3D val="0"/>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80E7-4F9D-84E2-33A27B604BF0}"/>
              </c:ext>
            </c:extLst>
          </c:dPt>
          <c:dPt>
            <c:idx val="1"/>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80E7-4F9D-84E2-33A27B604BF0}"/>
              </c:ext>
            </c:extLst>
          </c:dPt>
          <c:dPt>
            <c:idx val="2"/>
            <c:bubble3D val="0"/>
            <c:spPr>
              <a:solidFill>
                <a:schemeClr val="accent3"/>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80E7-4F9D-84E2-33A27B604BF0}"/>
              </c:ext>
            </c:extLst>
          </c:dPt>
          <c:dPt>
            <c:idx val="3"/>
            <c:bubble3D val="0"/>
            <c:spPr>
              <a:solidFill>
                <a:schemeClr val="accent4"/>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80E7-4F9D-84E2-33A27B604BF0}"/>
              </c:ext>
            </c:extLst>
          </c:dPt>
          <c:dPt>
            <c:idx val="4"/>
            <c:bubble3D val="0"/>
            <c:spPr>
              <a:solidFill>
                <a:schemeClr val="accent5"/>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80E7-4F9D-84E2-33A27B604BF0}"/>
              </c:ext>
            </c:extLst>
          </c:dPt>
          <c:dPt>
            <c:idx val="5"/>
            <c:bubble3D val="0"/>
            <c:spPr>
              <a:solidFill>
                <a:schemeClr val="accent6"/>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80E7-4F9D-84E2-33A27B604BF0}"/>
              </c:ext>
            </c:extLst>
          </c:dPt>
          <c:dPt>
            <c:idx val="6"/>
            <c:bubble3D val="0"/>
            <c:spPr>
              <a:solidFill>
                <a:schemeClr val="accent1">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80E7-4F9D-84E2-33A27B604BF0}"/>
              </c:ext>
            </c:extLst>
          </c:dPt>
          <c:dPt>
            <c:idx val="7"/>
            <c:bubble3D val="0"/>
            <c:spPr>
              <a:solidFill>
                <a:schemeClr val="accent2">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80E7-4F9D-84E2-33A27B604BF0}"/>
              </c:ext>
            </c:extLst>
          </c:dPt>
          <c:dPt>
            <c:idx val="8"/>
            <c:bubble3D val="0"/>
            <c:spPr>
              <a:solidFill>
                <a:schemeClr val="accent3">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1-80E7-4F9D-84E2-33A27B604BF0}"/>
              </c:ext>
            </c:extLst>
          </c:dPt>
          <c:dPt>
            <c:idx val="9"/>
            <c:bubble3D val="0"/>
            <c:spPr>
              <a:solidFill>
                <a:schemeClr val="accent4">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3-80E7-4F9D-84E2-33A27B604BF0}"/>
              </c:ext>
            </c:extLst>
          </c:dPt>
          <c:dPt>
            <c:idx val="10"/>
            <c:bubble3D val="0"/>
            <c:spPr>
              <a:solidFill>
                <a:schemeClr val="accent5">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5-80E7-4F9D-84E2-33A27B604BF0}"/>
              </c:ext>
            </c:extLst>
          </c:dPt>
          <c:dPt>
            <c:idx val="11"/>
            <c:bubble3D val="0"/>
            <c:spPr>
              <a:solidFill>
                <a:schemeClr val="accent6">
                  <a:lumMod val="6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17-80E7-4F9D-84E2-33A27B604BF0}"/>
              </c:ext>
            </c:extLst>
          </c:dPt>
          <c:dLbls>
            <c:dLbl>
              <c:idx val="0"/>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1-80E7-4F9D-84E2-33A27B604BF0}"/>
                </c:ext>
              </c:extLst>
            </c:dLbl>
            <c:dLbl>
              <c:idx val="1"/>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2"/>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3-80E7-4F9D-84E2-33A27B604BF0}"/>
                </c:ext>
              </c:extLst>
            </c:dLbl>
            <c:dLbl>
              <c:idx val="2"/>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5-80E7-4F9D-84E2-33A27B604BF0}"/>
                </c:ext>
              </c:extLst>
            </c:dLbl>
            <c:dLbl>
              <c:idx val="3"/>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tx1"/>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07-80E7-4F9D-84E2-33A27B604BF0}"/>
                </c:ext>
              </c:extLst>
            </c:dLbl>
            <c:dLbl>
              <c:idx val="4"/>
              <c:layout>
                <c:manualLayout>
                  <c:x val="0"/>
                  <c:y val="0.11157602749514454"/>
                </c:manualLayout>
              </c:layout>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5"/>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80E7-4F9D-84E2-33A27B604BF0}"/>
                </c:ext>
              </c:extLst>
            </c:dLbl>
            <c:dLbl>
              <c:idx val="5"/>
              <c:layout>
                <c:manualLayout>
                  <c:x val="0"/>
                  <c:y val="7.4384018330096363E-2"/>
                </c:manualLayout>
              </c:layout>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6"/>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80E7-4F9D-84E2-33A27B604BF0}"/>
                </c:ext>
              </c:extLst>
            </c:dLbl>
            <c:dLbl>
              <c:idx val="6"/>
              <c:layout>
                <c:manualLayout>
                  <c:x val="-7.3506891271056668E-2"/>
                  <c:y val="0"/>
                </c:manualLayout>
              </c:layout>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1">
                          <a:lumMod val="60000"/>
                        </a:schemeClr>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80E7-4F9D-84E2-33A27B604BF0}"/>
                </c:ext>
              </c:extLst>
            </c:dLbl>
            <c:dLbl>
              <c:idx val="7"/>
              <c:layout>
                <c:manualLayout>
                  <c:x val="-5.9213884635017866E-2"/>
                  <c:y val="-1.1157602749514453E-2"/>
                </c:manualLayout>
              </c:layout>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2">
                          <a:lumMod val="60000"/>
                        </a:schemeClr>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80E7-4F9D-84E2-33A27B604BF0}"/>
                </c:ext>
              </c:extLst>
            </c:dLbl>
            <c:dLbl>
              <c:idx val="8"/>
              <c:layout>
                <c:manualLayout>
                  <c:x val="-3.2669729453802962E-2"/>
                  <c:y val="-4.4630410998057847E-2"/>
                </c:manualLayout>
              </c:layout>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3">
                          <a:lumMod val="60000"/>
                        </a:schemeClr>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80E7-4F9D-84E2-33A27B604BF0}"/>
                </c:ext>
              </c:extLst>
            </c:dLbl>
            <c:dLbl>
              <c:idx val="9"/>
              <c:layout>
                <c:manualLayout>
                  <c:x val="-0.11434405308831036"/>
                  <c:y val="-7.8103219246601199E-2"/>
                </c:manualLayout>
              </c:layout>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4">
                          <a:lumMod val="60000"/>
                        </a:schemeClr>
                      </a:solidFill>
                      <a:latin typeface="Book Antiqua" panose="02040602050305030304" pitchFamily="18" charset="0"/>
                      <a:ea typeface="+mn-ea"/>
                      <a:cs typeface="+mn-cs"/>
                    </a:defRPr>
                  </a:pPr>
                  <a:endParaRPr lang="en-US"/>
                </a:p>
              </c:txPr>
              <c:dLblPos val="bestFi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3-80E7-4F9D-84E2-33A27B604BF0}"/>
                </c:ext>
              </c:extLst>
            </c:dLbl>
            <c:dLbl>
              <c:idx val="10"/>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5">
                          <a:lumMod val="60000"/>
                        </a:schemeClr>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5-80E7-4F9D-84E2-33A27B604BF0}"/>
                </c:ext>
              </c:extLst>
            </c:dLbl>
            <c:dLbl>
              <c:idx val="11"/>
              <c:numFmt formatCode="0.00%" sourceLinked="0"/>
              <c:spPr>
                <a:noFill/>
                <a:ln>
                  <a:noFill/>
                </a:ln>
                <a:effectLst/>
              </c:spPr>
              <c:txPr>
                <a:bodyPr rot="0" spcFirstLastPara="1" vertOverflow="ellipsis" vert="horz" wrap="square" anchor="ctr" anchorCtr="1"/>
                <a:lstStyle/>
                <a:p>
                  <a:pPr>
                    <a:defRPr sz="1000" b="1" i="0" u="none" strike="noStrike" kern="1200" spc="0" baseline="0">
                      <a:solidFill>
                        <a:schemeClr val="accent6">
                          <a:lumMod val="60000"/>
                        </a:schemeClr>
                      </a:solidFill>
                      <a:latin typeface="Book Antiqua" panose="02040602050305030304" pitchFamily="18" charset="0"/>
                      <a:ea typeface="+mn-ea"/>
                      <a:cs typeface="+mn-cs"/>
                    </a:defRPr>
                  </a:pPr>
                  <a:endParaRPr lang="en-US"/>
                </a:p>
              </c:txPr>
              <c:dLblPos val="outEnd"/>
              <c:showLegendKey val="0"/>
              <c:showVal val="0"/>
              <c:showCatName val="1"/>
              <c:showSerName val="0"/>
              <c:showPercent val="1"/>
              <c:showBubbleSize val="0"/>
              <c:extLst>
                <c:ext xmlns:c16="http://schemas.microsoft.com/office/drawing/2014/chart" uri="{C3380CC4-5D6E-409C-BE32-E72D297353CC}">
                  <c16:uniqueId val="{00000017-80E7-4F9D-84E2-33A27B604BF0}"/>
                </c:ext>
              </c:extLst>
            </c:dLbl>
            <c:numFmt formatCode="0.00%" sourceLinked="0"/>
            <c:spPr>
              <a:noFill/>
              <a:ln>
                <a:noFill/>
              </a:ln>
              <a:effectLst/>
            </c:sp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'[12]Survey_HSD sectoral'!$C$6:$C$17</c:f>
              <c:strCache>
                <c:ptCount val="12"/>
                <c:pt idx="0">
                  <c:v>Commercial (taxis)</c:v>
                </c:pt>
                <c:pt idx="1">
                  <c:v>Private cars</c:v>
                </c:pt>
                <c:pt idx="2">
                  <c:v>3 - Wheelers</c:v>
                </c:pt>
                <c:pt idx="3">
                  <c:v>Truck:HCV/LCV</c:v>
                </c:pt>
                <c:pt idx="4">
                  <c:v>Buses</c:v>
                </c:pt>
                <c:pt idx="5">
                  <c:v>Aviation/shipping</c:v>
                </c:pt>
                <c:pt idx="6">
                  <c:v>Railways</c:v>
                </c:pt>
                <c:pt idx="7">
                  <c:v>Agriculture</c:v>
                </c:pt>
                <c:pt idx="8">
                  <c:v>Power Generation</c:v>
                </c:pt>
                <c:pt idx="9">
                  <c:v>Industry</c:v>
                </c:pt>
                <c:pt idx="10">
                  <c:v>Mobile towers</c:v>
                </c:pt>
                <c:pt idx="11">
                  <c:v>Others </c:v>
                </c:pt>
              </c:strCache>
            </c:strRef>
          </c:cat>
          <c:val>
            <c:numRef>
              <c:f>'[12]Survey_HSD sectoral'!$D$6:$D$17</c:f>
              <c:numCache>
                <c:formatCode>General</c:formatCode>
                <c:ptCount val="12"/>
                <c:pt idx="0">
                  <c:v>2.9</c:v>
                </c:pt>
                <c:pt idx="1">
                  <c:v>12.4</c:v>
                </c:pt>
                <c:pt idx="2">
                  <c:v>1.2</c:v>
                </c:pt>
                <c:pt idx="3">
                  <c:v>55.4</c:v>
                </c:pt>
                <c:pt idx="4">
                  <c:v>5.9</c:v>
                </c:pt>
                <c:pt idx="5">
                  <c:v>0.8</c:v>
                </c:pt>
                <c:pt idx="6">
                  <c:v>2.1</c:v>
                </c:pt>
                <c:pt idx="7">
                  <c:v>4.8</c:v>
                </c:pt>
                <c:pt idx="8">
                  <c:v>1.6</c:v>
                </c:pt>
                <c:pt idx="9">
                  <c:v>6.3</c:v>
                </c:pt>
                <c:pt idx="10">
                  <c:v>0.3</c:v>
                </c:pt>
                <c:pt idx="11">
                  <c:v>6.3</c:v>
                </c:pt>
              </c:numCache>
            </c:numRef>
          </c:val>
          <c:extLst>
            <c:ext xmlns:c16="http://schemas.microsoft.com/office/drawing/2014/chart" uri="{C3380CC4-5D6E-409C-BE32-E72D297353CC}">
              <c16:uniqueId val="{00000018-80E7-4F9D-84E2-33A27B604BF0}"/>
            </c:ext>
          </c:extLst>
        </c:ser>
        <c:dLbls>
          <c:dLblPos val="outEnd"/>
          <c:showLegendKey val="0"/>
          <c:showVal val="0"/>
          <c:showCatName val="0"/>
          <c:showSerName val="0"/>
          <c:showPercent val="1"/>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dLbls>
          <c:showLegendKey val="0"/>
          <c:showVal val="0"/>
          <c:showCatName val="0"/>
          <c:showSerName val="0"/>
          <c:showPercent val="0"/>
          <c:showBubbleSize val="0"/>
          <c:showLeaderLines val="0"/>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0DCB-4928-96F3-04D1947CADA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0DCB-4928-96F3-04D1947CADA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0DCB-4928-96F3-04D1947CADA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0DCB-4928-96F3-04D1947CADA2}"/>
              </c:ext>
            </c:extLst>
          </c:dPt>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POL_sectoral!$S$201:$S$204</c:f>
              <c:strCache>
                <c:ptCount val="4"/>
                <c:pt idx="0">
                  <c:v>Iron &amp; Steel</c:v>
                </c:pt>
                <c:pt idx="1">
                  <c:v>Cement</c:v>
                </c:pt>
                <c:pt idx="2">
                  <c:v>Agriculture</c:v>
                </c:pt>
                <c:pt idx="3">
                  <c:v>Others</c:v>
                </c:pt>
              </c:strCache>
            </c:strRef>
          </c:cat>
          <c:val>
            <c:numRef>
              <c:f>POL_sectoral!$T$201:$T$204</c:f>
              <c:numCache>
                <c:formatCode>General</c:formatCode>
                <c:ptCount val="4"/>
                <c:pt idx="0">
                  <c:v>313.88958000000002</c:v>
                </c:pt>
                <c:pt idx="1">
                  <c:v>3534.1974720000021</c:v>
                </c:pt>
                <c:pt idx="2">
                  <c:v>765.15159999999946</c:v>
                </c:pt>
                <c:pt idx="3">
                  <c:v>14672.913364490003</c:v>
                </c:pt>
              </c:numCache>
            </c:numRef>
          </c:val>
          <c:extLst>
            <c:ext xmlns:c16="http://schemas.microsoft.com/office/drawing/2014/chart" uri="{C3380CC4-5D6E-409C-BE32-E72D297353CC}">
              <c16:uniqueId val="{00000008-0DCB-4928-96F3-04D1947CADA2}"/>
            </c:ext>
          </c:extLst>
        </c:ser>
        <c:dLbls>
          <c:showLegendKey val="0"/>
          <c:showVal val="0"/>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320" b="1" i="0" u="none" strike="noStrike" kern="1200" spc="0" baseline="0">
                <a:solidFill>
                  <a:schemeClr val="tx1"/>
                </a:solidFill>
                <a:latin typeface="+mn-lt"/>
                <a:ea typeface="+mn-ea"/>
                <a:cs typeface="+mn-cs"/>
              </a:defRPr>
            </a:pPr>
            <a:r>
              <a:rPr lang="en-IN"/>
              <a:t>Direct Sales HSD Apr-Mar'26 (12132 TMT)</a:t>
            </a:r>
          </a:p>
        </c:rich>
      </c:tx>
      <c:overlay val="0"/>
      <c:spPr>
        <a:noFill/>
        <a:ln>
          <a:noFill/>
        </a:ln>
        <a:effectLst/>
      </c:spPr>
      <c:txPr>
        <a:bodyPr rot="0" spcFirstLastPara="1" vertOverflow="ellipsis" vert="horz" wrap="square" anchor="ctr" anchorCtr="1"/>
        <a:lstStyle/>
        <a:p>
          <a:pPr>
            <a:defRPr sz="1320" b="1" i="0" u="none" strike="noStrike" kern="1200" spc="0" baseline="0">
              <a:solidFill>
                <a:schemeClr val="tx1"/>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[11]Charts!$C$80</c:f>
              <c:strCache>
                <c:ptCount val="1"/>
                <c:pt idx="0">
                  <c:v>Direct Sales HSD Apr-Mar'26 (12130 TMT)</c:v>
                </c:pt>
              </c:strCache>
            </c:strRef>
          </c:tx>
          <c:dPt>
            <c:idx val="0"/>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1-12CE-4BDC-811B-43D6C15ADFEC}"/>
              </c:ext>
            </c:extLst>
          </c:dPt>
          <c:dPt>
            <c:idx val="1"/>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3-12CE-4BDC-811B-43D6C15ADFEC}"/>
              </c:ext>
            </c:extLst>
          </c:dPt>
          <c:dPt>
            <c:idx val="2"/>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5-12CE-4BDC-811B-43D6C15ADFEC}"/>
              </c:ext>
            </c:extLst>
          </c:dPt>
          <c:dPt>
            <c:idx val="3"/>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7-12CE-4BDC-811B-43D6C15ADFEC}"/>
              </c:ext>
            </c:extLst>
          </c:dPt>
          <c:dPt>
            <c:idx val="4"/>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9-12CE-4BDC-811B-43D6C15ADFEC}"/>
              </c:ext>
            </c:extLst>
          </c:dPt>
          <c:dPt>
            <c:idx val="5"/>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B-12CE-4BDC-811B-43D6C15ADFEC}"/>
              </c:ext>
            </c:extLst>
          </c:dPt>
          <c:dPt>
            <c:idx val="6"/>
            <c:bubble3D val="0"/>
            <c:spPr>
              <a:solidFill>
                <a:schemeClr val="accent2">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12CE-4BDC-811B-43D6C15ADFEC}"/>
              </c:ext>
            </c:extLst>
          </c:dPt>
          <c:dPt>
            <c:idx val="7"/>
            <c:bubble3D val="0"/>
            <c:spPr>
              <a:solidFill>
                <a:schemeClr val="accent4">
                  <a:lumMod val="80000"/>
                  <a:lumOff val="2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12CE-4BDC-811B-43D6C15ADFEC}"/>
              </c:ext>
            </c:extLst>
          </c:dPt>
          <c:dLbls>
            <c:spPr>
              <a:noFill/>
              <a:ln>
                <a:noFill/>
              </a:ln>
              <a:effectLst/>
            </c:spPr>
            <c:txPr>
              <a:bodyPr rot="0" spcFirstLastPara="1" vertOverflow="ellipsis" vert="horz" wrap="square" anchor="ctr" anchorCtr="1"/>
              <a:lstStyle/>
              <a:p>
                <a:pPr>
                  <a:defRPr sz="1100" b="1" i="0" u="none" strike="noStrike" kern="1200" baseline="0">
                    <a:solidFill>
                      <a:schemeClr val="tx1"/>
                    </a:solidFill>
                    <a:latin typeface="+mn-lt"/>
                    <a:ea typeface="+mn-ea"/>
                    <a:cs typeface="+mn-cs"/>
                  </a:defRPr>
                </a:pPr>
                <a:endParaRPr lang="en-US"/>
              </a:p>
            </c:txPr>
            <c:dLblPos val="outEnd"/>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[11]Charts!$A$81:$A$88</c:f>
              <c:strCache>
                <c:ptCount val="8"/>
                <c:pt idx="0">
                  <c:v>Agriculture</c:v>
                </c:pt>
                <c:pt idx="1">
                  <c:v>Manufacturing</c:v>
                </c:pt>
                <c:pt idx="2">
                  <c:v>Mining &amp; Quarrying</c:v>
                </c:pt>
                <c:pt idx="3">
                  <c:v>Power Generation</c:v>
                </c:pt>
                <c:pt idx="4">
                  <c:v>Railways</c:v>
                </c:pt>
                <c:pt idx="5">
                  <c:v>Road Transport</c:v>
                </c:pt>
                <c:pt idx="6">
                  <c:v>Shipping</c:v>
                </c:pt>
                <c:pt idx="7">
                  <c:v>Misc</c:v>
                </c:pt>
              </c:strCache>
            </c:strRef>
          </c:cat>
          <c:val>
            <c:numRef>
              <c:f>[11]Charts!$C$81:$C$88</c:f>
              <c:numCache>
                <c:formatCode>General</c:formatCode>
                <c:ptCount val="8"/>
                <c:pt idx="0">
                  <c:v>515.37632682643834</c:v>
                </c:pt>
                <c:pt idx="1">
                  <c:v>1446.2535859611494</c:v>
                </c:pt>
                <c:pt idx="2">
                  <c:v>1561.5784644016665</c:v>
                </c:pt>
                <c:pt idx="3">
                  <c:v>207.30686411570238</c:v>
                </c:pt>
                <c:pt idx="4">
                  <c:v>1052.6016612727285</c:v>
                </c:pt>
                <c:pt idx="5">
                  <c:v>2313.9757687710598</c:v>
                </c:pt>
                <c:pt idx="6">
                  <c:v>847.75018807521121</c:v>
                </c:pt>
                <c:pt idx="7">
                  <c:v>4184.6598374075647</c:v>
                </c:pt>
              </c:numCache>
            </c:numRef>
          </c:val>
          <c:extLst>
            <c:ext xmlns:c16="http://schemas.microsoft.com/office/drawing/2014/chart" uri="{C3380CC4-5D6E-409C-BE32-E72D297353CC}">
              <c16:uniqueId val="{00000010-12CE-4BDC-811B-43D6C15ADFEC}"/>
            </c:ext>
          </c:extLst>
        </c:ser>
        <c:dLbls>
          <c:dLblPos val="bestFit"/>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dk1"/>
      </a:solidFill>
      <a:prstDash val="solid"/>
      <a:miter lim="800000"/>
    </a:ln>
    <a:effectLst/>
  </c:spPr>
  <c:txPr>
    <a:bodyPr/>
    <a:lstStyle/>
    <a:p>
      <a:pPr>
        <a:defRPr sz="1100" b="1">
          <a:solidFill>
            <a:schemeClr val="tx1"/>
          </a:solidFill>
          <a:latin typeface="+mn-lt"/>
          <a:ea typeface="+mn-ea"/>
          <a:cs typeface="+mn-cs"/>
        </a:defRPr>
      </a:pPr>
      <a:endParaRPr lang="en-US"/>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IN" sz="1400" b="1" i="0" u="none" strike="noStrike" kern="1200" spc="0" baseline="0">
                <a:solidFill>
                  <a:sysClr val="windowText" lastClr="000000"/>
                </a:solidFill>
              </a:rPr>
              <a:t>Naptha Sector Sales Apr-Mar'26 (11726 TMT)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'[13]Naptha Data'!$O$2</c:f>
              <c:strCache>
                <c:ptCount val="1"/>
                <c:pt idx="0">
                  <c:v>2025-2026</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4E64-4693-9A78-FD459DA7D41C}"/>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4E64-4693-9A78-FD459DA7D41C}"/>
              </c:ext>
            </c:extLst>
          </c:dPt>
          <c:dLbls>
            <c:dLbl>
              <c:idx val="0"/>
              <c:layout>
                <c:manualLayout>
                  <c:x val="0.2411253280839894"/>
                  <c:y val="-0.16792796733741616"/>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4E64-4693-9A78-FD459DA7D41C}"/>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'[13]Naptha Data'!$M$3:$M$4</c:f>
              <c:strCache>
                <c:ptCount val="2"/>
                <c:pt idx="0">
                  <c:v>Petrochemicals</c:v>
                </c:pt>
                <c:pt idx="1">
                  <c:v>Misc</c:v>
                </c:pt>
              </c:strCache>
            </c:strRef>
          </c:cat>
          <c:val>
            <c:numRef>
              <c:f>'[13]Naptha Data'!$O$3:$O$4</c:f>
              <c:numCache>
                <c:formatCode>General</c:formatCode>
                <c:ptCount val="2"/>
                <c:pt idx="0">
                  <c:v>10911.861100000004</c:v>
                </c:pt>
                <c:pt idx="1">
                  <c:v>813.89574599999992</c:v>
                </c:pt>
              </c:numCache>
            </c:numRef>
          </c:val>
          <c:extLst>
            <c:ext xmlns:c16="http://schemas.microsoft.com/office/drawing/2014/chart" uri="{C3380CC4-5D6E-409C-BE32-E72D297353CC}">
              <c16:uniqueId val="{00000004-4E64-4693-9A78-FD459DA7D41C}"/>
            </c:ext>
          </c:extLst>
        </c:ser>
        <c:dLbls>
          <c:showLegendKey val="0"/>
          <c:showVal val="1"/>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19050"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IN" sz="1400" b="1" i="0" u="none" strike="noStrike" kern="1200" spc="0" baseline="0">
                <a:solidFill>
                  <a:sysClr val="windowText" lastClr="000000"/>
                </a:solidFill>
              </a:rPr>
              <a:t>Naptha Sector Sales Apr-Mar'25 (13028 TMT)</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'[13]Naptha Data'!$N$2</c:f>
              <c:strCache>
                <c:ptCount val="1"/>
                <c:pt idx="0">
                  <c:v>2024-2025</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F1D5-4540-88B3-5E9671A5ADFE}"/>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F1D5-4540-88B3-5E9671A5ADFE}"/>
              </c:ext>
            </c:extLst>
          </c:dPt>
          <c:dLbls>
            <c:dLbl>
              <c:idx val="0"/>
              <c:layout>
                <c:manualLayout>
                  <c:x val="0.11533628608923885"/>
                  <c:y val="-0.10989464858559347"/>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F1D5-4540-88B3-5E9671A5ADFE}"/>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'[13]Naptha Data'!$M$3:$M$4</c:f>
              <c:strCache>
                <c:ptCount val="2"/>
                <c:pt idx="0">
                  <c:v>Petrochemicals</c:v>
                </c:pt>
                <c:pt idx="1">
                  <c:v>Misc</c:v>
                </c:pt>
              </c:strCache>
            </c:strRef>
          </c:cat>
          <c:val>
            <c:numRef>
              <c:f>'[13]Naptha Data'!$N$3:$N$4</c:f>
              <c:numCache>
                <c:formatCode>General</c:formatCode>
                <c:ptCount val="2"/>
                <c:pt idx="0">
                  <c:v>11456.683369999997</c:v>
                </c:pt>
                <c:pt idx="1">
                  <c:v>1571.7574610000001</c:v>
                </c:pt>
              </c:numCache>
            </c:numRef>
          </c:val>
          <c:extLst>
            <c:ext xmlns:c16="http://schemas.microsoft.com/office/drawing/2014/chart" uri="{C3380CC4-5D6E-409C-BE32-E72D297353CC}">
              <c16:uniqueId val="{00000004-F1D5-4540-88B3-5E9671A5ADFE}"/>
            </c:ext>
          </c:extLst>
        </c:ser>
        <c:dLbls>
          <c:showLegendKey val="0"/>
          <c:showVal val="1"/>
          <c:showCatName val="0"/>
          <c:showSerName val="0"/>
          <c:showPercent val="0"/>
          <c:showBubbleSize val="0"/>
          <c:showLeaderLines val="1"/>
        </c:dLbls>
      </c:pie3DChart>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2857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r>
              <a:rPr lang="en-IN" sz="1200" b="1" i="0" u="none" strike="noStrike" kern="1200" spc="0" baseline="0">
                <a:solidFill>
                  <a:sysClr val="windowText" lastClr="000000"/>
                </a:solidFill>
              </a:rPr>
              <a:t>Petcoke Sectoral Sales Apr-Mar'26 (18401 TMT)</a:t>
            </a:r>
          </a:p>
        </c:rich>
      </c:tx>
      <c:overlay val="0"/>
      <c:spPr>
        <a:noFill/>
        <a:ln>
          <a:noFill/>
        </a:ln>
        <a:effectLst/>
      </c:spPr>
      <c:txPr>
        <a:bodyPr rot="0" spcFirstLastPara="1" vertOverflow="ellipsis" vert="horz" wrap="square" anchor="ctr" anchorCtr="1"/>
        <a:lstStyle/>
        <a:p>
          <a:pPr marL="0" marR="0" lvl="0" indent="0" algn="ctr" defTabSz="914400" rtl="0" eaLnBrk="1" fontAlgn="auto" latinLnBrk="0" hangingPunct="1">
            <a:lnSpc>
              <a:spcPct val="100000"/>
            </a:lnSpc>
            <a:spcBef>
              <a:spcPts val="0"/>
            </a:spcBef>
            <a:spcAft>
              <a:spcPts val="0"/>
            </a:spcAft>
            <a:buClrTx/>
            <a:buSzTx/>
            <a:buFontTx/>
            <a:buNone/>
            <a:tabLst/>
            <a:defRPr sz="1400" b="0" i="0" u="none" strike="noStrike" kern="1200" spc="0" baseline="0">
              <a:solidFill>
                <a:sysClr val="windowText" lastClr="000000">
                  <a:lumMod val="65000"/>
                  <a:lumOff val="35000"/>
                </a:sys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'[13]Petcoke data'!$O$3</c:f>
              <c:strCache>
                <c:ptCount val="1"/>
                <c:pt idx="0">
                  <c:v>2025-2026</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9D20-4B91-9660-C3F196D908D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9D20-4B91-9660-C3F196D908D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9D20-4B91-9660-C3F196D908D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9D20-4B91-9660-C3F196D908D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9D20-4B91-9660-C3F196D908D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9D20-4B91-9660-C3F196D908D2}"/>
              </c:ext>
            </c:extLst>
          </c:dPt>
          <c:dLbls>
            <c:dLbl>
              <c:idx val="0"/>
              <c:layout>
                <c:manualLayout>
                  <c:x val="-0.13142952755905513"/>
                  <c:y val="-2.2926663003660287E-2"/>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9D20-4B91-9660-C3F196D908D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'[13]Petcoke data'!$M$4:$M$9</c:f>
              <c:strCache>
                <c:ptCount val="6"/>
                <c:pt idx="0">
                  <c:v>Cement</c:v>
                </c:pt>
                <c:pt idx="1">
                  <c:v>Agriculture</c:v>
                </c:pt>
                <c:pt idx="2">
                  <c:v>Mining &amp; Quarrying</c:v>
                </c:pt>
                <c:pt idx="3">
                  <c:v>Chemicals &amp; Allied</c:v>
                </c:pt>
                <c:pt idx="4">
                  <c:v>Iron &amp; Steel</c:v>
                </c:pt>
                <c:pt idx="5">
                  <c:v>Miscellaneous</c:v>
                </c:pt>
              </c:strCache>
            </c:strRef>
          </c:cat>
          <c:val>
            <c:numRef>
              <c:f>'[13]Petcoke data'!$O$4:$O$9</c:f>
              <c:numCache>
                <c:formatCode>General</c:formatCode>
                <c:ptCount val="6"/>
                <c:pt idx="0">
                  <c:v>3024.346994999994</c:v>
                </c:pt>
                <c:pt idx="1">
                  <c:v>917.2554100000001</c:v>
                </c:pt>
                <c:pt idx="2">
                  <c:v>137.25606000000002</c:v>
                </c:pt>
                <c:pt idx="3">
                  <c:v>653.99716600000033</c:v>
                </c:pt>
                <c:pt idx="4">
                  <c:v>349.66093999999993</c:v>
                </c:pt>
                <c:pt idx="5">
                  <c:v>13318.272806999999</c:v>
                </c:pt>
              </c:numCache>
            </c:numRef>
          </c:val>
          <c:extLst>
            <c:ext xmlns:c16="http://schemas.microsoft.com/office/drawing/2014/chart" uri="{C3380CC4-5D6E-409C-BE32-E72D297353CC}">
              <c16:uniqueId val="{0000000C-9D20-4B91-9660-C3F196D908D2}"/>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2857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IN" sz="1200" b="1" i="0" u="none" strike="noStrike" kern="1200" spc="0" baseline="0">
                <a:solidFill>
                  <a:sysClr val="windowText" lastClr="000000"/>
                </a:solidFill>
              </a:rPr>
              <a:t>Petcoke Sectoral Sales Apr-Mar'25 (22002 TMT)</a:t>
            </a:r>
          </a:p>
        </c:rich>
      </c:tx>
      <c:layout>
        <c:manualLayout>
          <c:xMode val="edge"/>
          <c:yMode val="edge"/>
          <c:x val="0.15932683732662081"/>
          <c:y val="3.8127680688781654E-2"/>
        </c:manualLayout>
      </c:layout>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pie3DChart>
        <c:varyColors val="1"/>
        <c:ser>
          <c:idx val="0"/>
          <c:order val="0"/>
          <c:tx>
            <c:strRef>
              <c:f>'[13]Petcoke data'!$N$3</c:f>
              <c:strCache>
                <c:ptCount val="1"/>
                <c:pt idx="0">
                  <c:v>2024-2025</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7BCF-468E-8F4B-C38FEAB3D97A}"/>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7BCF-468E-8F4B-C38FEAB3D97A}"/>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7BCF-468E-8F4B-C38FEAB3D97A}"/>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7BCF-468E-8F4B-C38FEAB3D97A}"/>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7BCF-468E-8F4B-C38FEAB3D97A}"/>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7BCF-468E-8F4B-C38FEAB3D97A}"/>
              </c:ext>
            </c:extLst>
          </c:dPt>
          <c:dLbls>
            <c:dLbl>
              <c:idx val="0"/>
              <c:layout>
                <c:manualLayout>
                  <c:x val="-0.10276920935643853"/>
                  <c:y val="-4.3564275370610774E-3"/>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7BCF-468E-8F4B-C38FEAB3D97A}"/>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'[13]Petcoke data'!$M$4:$M$9</c:f>
              <c:strCache>
                <c:ptCount val="6"/>
                <c:pt idx="0">
                  <c:v>Cement</c:v>
                </c:pt>
                <c:pt idx="1">
                  <c:v>Agriculture</c:v>
                </c:pt>
                <c:pt idx="2">
                  <c:v>Mining &amp; Quarrying</c:v>
                </c:pt>
                <c:pt idx="3">
                  <c:v>Chemicals &amp; Allied</c:v>
                </c:pt>
                <c:pt idx="4">
                  <c:v>Iron &amp; Steel</c:v>
                </c:pt>
                <c:pt idx="5">
                  <c:v>Miscellaneous</c:v>
                </c:pt>
              </c:strCache>
            </c:strRef>
          </c:cat>
          <c:val>
            <c:numRef>
              <c:f>'[13]Petcoke data'!$N$4:$N$9</c:f>
              <c:numCache>
                <c:formatCode>General</c:formatCode>
                <c:ptCount val="6"/>
                <c:pt idx="0">
                  <c:v>3569.3555789999996</c:v>
                </c:pt>
                <c:pt idx="1">
                  <c:v>818.71714999999949</c:v>
                </c:pt>
                <c:pt idx="2">
                  <c:v>127.36021599999998</c:v>
                </c:pt>
                <c:pt idx="3">
                  <c:v>702.74741600000004</c:v>
                </c:pt>
                <c:pt idx="4">
                  <c:v>300.57798000000008</c:v>
                </c:pt>
                <c:pt idx="5">
                  <c:v>16483.515204000003</c:v>
                </c:pt>
              </c:numCache>
            </c:numRef>
          </c:val>
          <c:extLst>
            <c:ext xmlns:c16="http://schemas.microsoft.com/office/drawing/2014/chart" uri="{C3380CC4-5D6E-409C-BE32-E72D297353CC}">
              <c16:uniqueId val="{0000000C-7BCF-468E-8F4B-C38FEAB3D97A}"/>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2857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0" i="0" u="none" strike="noStrike" kern="1200" spc="0" baseline="0">
                <a:solidFill>
                  <a:schemeClr val="tx1">
                    <a:lumMod val="65000"/>
                    <a:lumOff val="35000"/>
                  </a:schemeClr>
                </a:solidFill>
                <a:latin typeface="+mn-lt"/>
                <a:ea typeface="+mn-ea"/>
                <a:cs typeface="+mn-cs"/>
              </a:defRPr>
            </a:pPr>
            <a:r>
              <a:rPr lang="en-US" sz="1200" b="1" i="0" u="none" strike="noStrike" kern="1200" spc="0" baseline="0">
                <a:solidFill>
                  <a:sysClr val="windowText" lastClr="000000"/>
                </a:solidFill>
              </a:rPr>
              <a:t>FO Sectoral Sales Apr-Mar'26 (6377 TMT)</a:t>
            </a:r>
          </a:p>
        </c:rich>
      </c:tx>
      <c:overlay val="0"/>
      <c:spPr>
        <a:noFill/>
        <a:ln>
          <a:noFill/>
        </a:ln>
        <a:effectLst/>
      </c:spPr>
      <c:txPr>
        <a:bodyPr rot="0" spcFirstLastPara="1" vertOverflow="ellipsis" vert="horz" wrap="square" anchor="ctr" anchorCtr="1"/>
        <a:lstStyle/>
        <a:p>
          <a:pPr>
            <a:defRPr sz="1200" b="0" i="0" u="none" strike="noStrike" kern="1200" spc="0"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8.8646007390504933E-2"/>
          <c:y val="8.526691329082986E-2"/>
          <c:w val="0.88688454881386591"/>
          <c:h val="0.82859737931042565"/>
        </c:manualLayout>
      </c:layout>
      <c:pie3DChart>
        <c:varyColors val="1"/>
        <c:ser>
          <c:idx val="0"/>
          <c:order val="0"/>
          <c:tx>
            <c:strRef>
              <c:f>'[13]FO Data'!$N$3</c:f>
              <c:strCache>
                <c:ptCount val="1"/>
                <c:pt idx="0">
                  <c:v>2025-2026</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AC8F-4737-9D8D-53A56D0B24F2}"/>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AC8F-4737-9D8D-53A56D0B24F2}"/>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AC8F-4737-9D8D-53A56D0B24F2}"/>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AC8F-4737-9D8D-53A56D0B24F2}"/>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AC8F-4737-9D8D-53A56D0B24F2}"/>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AC8F-4737-9D8D-53A56D0B24F2}"/>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AC8F-4737-9D8D-53A56D0B24F2}"/>
              </c:ext>
            </c:extLst>
          </c:dPt>
          <c:dPt>
            <c:idx val="7"/>
            <c:bubble3D val="0"/>
            <c:explosion val="12"/>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AC8F-4737-9D8D-53A56D0B24F2}"/>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AC8F-4737-9D8D-53A56D0B24F2}"/>
              </c:ext>
            </c:extLst>
          </c:dPt>
          <c:dLbls>
            <c:dLbl>
              <c:idx val="7"/>
              <c:layout>
                <c:manualLayout>
                  <c:x val="8.3002515310586181E-2"/>
                  <c:y val="-2.6871901428988043E-2"/>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AC8F-4737-9D8D-53A56D0B24F2}"/>
                </c:ext>
              </c:extLst>
            </c:dLbl>
            <c:dLbl>
              <c:idx val="8"/>
              <c:layout>
                <c:manualLayout>
                  <c:x val="8.3724846894138207E-3"/>
                  <c:y val="5.25116652085156E-2"/>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AC8F-4737-9D8D-53A56D0B24F2}"/>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'[13]FO Data'!$L$4:$L$12</c:f>
              <c:strCache>
                <c:ptCount val="9"/>
                <c:pt idx="0">
                  <c:v>Aluminium</c:v>
                </c:pt>
                <c:pt idx="1">
                  <c:v>Ceramic &amp; Glass</c:v>
                </c:pt>
                <c:pt idx="2">
                  <c:v>Chemicals &amp; Allied</c:v>
                </c:pt>
                <c:pt idx="3">
                  <c:v>Fertilizer</c:v>
                </c:pt>
                <c:pt idx="4">
                  <c:v>Iron &amp; Steel (Metallurgy)</c:v>
                </c:pt>
                <c:pt idx="5">
                  <c:v>Mining &amp; Quarrying</c:v>
                </c:pt>
                <c:pt idx="6">
                  <c:v>Power Generation</c:v>
                </c:pt>
                <c:pt idx="7">
                  <c:v>Shipping</c:v>
                </c:pt>
                <c:pt idx="8">
                  <c:v>Miscellaneous</c:v>
                </c:pt>
              </c:strCache>
            </c:strRef>
          </c:cat>
          <c:val>
            <c:numRef>
              <c:f>'[13]FO Data'!$N$4:$N$12</c:f>
              <c:numCache>
                <c:formatCode>General</c:formatCode>
                <c:ptCount val="9"/>
                <c:pt idx="0">
                  <c:v>385.75171467202381</c:v>
                </c:pt>
                <c:pt idx="1">
                  <c:v>82.323011815042236</c:v>
                </c:pt>
                <c:pt idx="2">
                  <c:v>149.98401414428267</c:v>
                </c:pt>
                <c:pt idx="3">
                  <c:v>308.01853633649927</c:v>
                </c:pt>
                <c:pt idx="4">
                  <c:v>326.80635450156569</c:v>
                </c:pt>
                <c:pt idx="5">
                  <c:v>127.48717219205676</c:v>
                </c:pt>
                <c:pt idx="6">
                  <c:v>285.95967036646198</c:v>
                </c:pt>
                <c:pt idx="7">
                  <c:v>1632.7942508747924</c:v>
                </c:pt>
                <c:pt idx="8">
                  <c:v>2284.7505296181503</c:v>
                </c:pt>
              </c:numCache>
            </c:numRef>
          </c:val>
          <c:extLst>
            <c:ext xmlns:c16="http://schemas.microsoft.com/office/drawing/2014/chart" uri="{C3380CC4-5D6E-409C-BE32-E72D297353CC}">
              <c16:uniqueId val="{00000012-AC8F-4737-9D8D-53A56D0B24F2}"/>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2857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0" i="0" u="none" strike="noStrike" kern="1200" spc="0" baseline="0">
                <a:solidFill>
                  <a:schemeClr val="tx1">
                    <a:lumMod val="65000"/>
                    <a:lumOff val="35000"/>
                  </a:schemeClr>
                </a:solidFill>
                <a:latin typeface="+mn-lt"/>
                <a:ea typeface="+mn-ea"/>
                <a:cs typeface="+mn-cs"/>
              </a:defRPr>
            </a:pPr>
            <a:r>
              <a:rPr lang="en-US" sz="1200" b="1" i="0" u="none" strike="noStrike" kern="1200" spc="0" baseline="0">
                <a:solidFill>
                  <a:sysClr val="windowText" lastClr="000000"/>
                </a:solidFill>
              </a:rPr>
              <a:t>FO Sectoral Sales Apr-Mar'25 (5720 TMT)</a:t>
            </a:r>
          </a:p>
        </c:rich>
      </c:tx>
      <c:overlay val="0"/>
      <c:spPr>
        <a:noFill/>
        <a:ln>
          <a:noFill/>
        </a:ln>
        <a:effectLst/>
      </c:spPr>
      <c:txPr>
        <a:bodyPr rot="0" spcFirstLastPara="1" vertOverflow="ellipsis" vert="horz" wrap="square" anchor="ctr" anchorCtr="1"/>
        <a:lstStyle/>
        <a:p>
          <a:pPr>
            <a:defRPr sz="1200" b="0" i="0" u="none" strike="noStrike" kern="1200" spc="0" baseline="0">
              <a:solidFill>
                <a:schemeClr val="tx1">
                  <a:lumMod val="65000"/>
                  <a:lumOff val="35000"/>
                </a:schemeClr>
              </a:solidFill>
              <a:latin typeface="+mn-lt"/>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257099939546604E-2"/>
          <c:y val="3.3294643725089917E-2"/>
          <c:w val="0.93976903742579154"/>
          <c:h val="0.8806946631671041"/>
        </c:manualLayout>
      </c:layout>
      <c:pie3DChart>
        <c:varyColors val="1"/>
        <c:ser>
          <c:idx val="0"/>
          <c:order val="0"/>
          <c:tx>
            <c:strRef>
              <c:f>'[13]FO Data'!$M$3</c:f>
              <c:strCache>
                <c:ptCount val="1"/>
                <c:pt idx="0">
                  <c:v>2024-2025</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80E1-4487-9419-8E9FBA579370}"/>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80E1-4487-9419-8E9FBA579370}"/>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80E1-4487-9419-8E9FBA579370}"/>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80E1-4487-9419-8E9FBA579370}"/>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80E1-4487-9419-8E9FBA579370}"/>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80E1-4487-9419-8E9FBA579370}"/>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80E1-4487-9419-8E9FBA579370}"/>
              </c:ext>
            </c:extLst>
          </c:dPt>
          <c:dPt>
            <c:idx val="7"/>
            <c:bubble3D val="0"/>
            <c:explosion val="12"/>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80E1-4487-9419-8E9FBA579370}"/>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80E1-4487-9419-8E9FBA579370}"/>
              </c:ext>
            </c:extLst>
          </c:dPt>
          <c:dLbls>
            <c:dLbl>
              <c:idx val="7"/>
              <c:layout>
                <c:manualLayout>
                  <c:x val="8.3002515310586181E-2"/>
                  <c:y val="-2.6871901428988043E-2"/>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80E1-4487-9419-8E9FBA579370}"/>
                </c:ext>
              </c:extLst>
            </c:dLbl>
            <c:dLbl>
              <c:idx val="8"/>
              <c:layout>
                <c:manualLayout>
                  <c:x val="8.3724846894138207E-3"/>
                  <c:y val="5.25116652085156E-2"/>
                </c:manualLayout>
              </c:layout>
              <c:showLegendKey val="0"/>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80E1-4487-9419-8E9FBA579370}"/>
                </c:ext>
              </c:extLst>
            </c:dLbl>
            <c:spPr>
              <a:noFill/>
              <a:ln>
                <a:noFill/>
              </a:ln>
              <a:effectLst/>
            </c:spPr>
            <c:txPr>
              <a:bodyPr rot="0" spcFirstLastPara="1" vertOverflow="ellipsis" vert="horz" wrap="square" lIns="38100" tIns="19050" rIns="38100" bIns="19050" anchor="ctr" anchorCtr="1">
                <a:spAutoFit/>
              </a:bodyPr>
              <a:lstStyle/>
              <a:p>
                <a:pPr>
                  <a:defRPr sz="900" b="1" i="0" u="none" strike="noStrike" kern="1200" baseline="0">
                    <a:solidFill>
                      <a:schemeClr val="tx1">
                        <a:lumMod val="75000"/>
                        <a:lumOff val="25000"/>
                      </a:schemeClr>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'[13]FO Data'!$L$4:$L$12</c:f>
              <c:strCache>
                <c:ptCount val="9"/>
                <c:pt idx="0">
                  <c:v>Aluminium</c:v>
                </c:pt>
                <c:pt idx="1">
                  <c:v>Ceramic &amp; Glass</c:v>
                </c:pt>
                <c:pt idx="2">
                  <c:v>Chemicals &amp; Allied</c:v>
                </c:pt>
                <c:pt idx="3">
                  <c:v>Fertilizer</c:v>
                </c:pt>
                <c:pt idx="4">
                  <c:v>Iron &amp; Steel (Metallurgy)</c:v>
                </c:pt>
                <c:pt idx="5">
                  <c:v>Mining &amp; Quarrying</c:v>
                </c:pt>
                <c:pt idx="6">
                  <c:v>Power Generation</c:v>
                </c:pt>
                <c:pt idx="7">
                  <c:v>Shipping</c:v>
                </c:pt>
                <c:pt idx="8">
                  <c:v>Miscellaneous</c:v>
                </c:pt>
              </c:strCache>
            </c:strRef>
          </c:cat>
          <c:val>
            <c:numRef>
              <c:f>'[13]FO Data'!$M$4:$M$12</c:f>
              <c:numCache>
                <c:formatCode>General</c:formatCode>
                <c:ptCount val="9"/>
                <c:pt idx="0">
                  <c:v>379.02660421335383</c:v>
                </c:pt>
                <c:pt idx="1">
                  <c:v>82.647609946277811</c:v>
                </c:pt>
                <c:pt idx="2">
                  <c:v>219.13964463257861</c:v>
                </c:pt>
                <c:pt idx="3">
                  <c:v>298.8265469781274</c:v>
                </c:pt>
                <c:pt idx="4">
                  <c:v>393.70317305794305</c:v>
                </c:pt>
                <c:pt idx="5">
                  <c:v>92.416539483883298</c:v>
                </c:pt>
                <c:pt idx="6">
                  <c:v>287.02432699731378</c:v>
                </c:pt>
                <c:pt idx="7">
                  <c:v>1503.8303558434184</c:v>
                </c:pt>
                <c:pt idx="8">
                  <c:v>2463.3084397971616</c:v>
                </c:pt>
              </c:numCache>
            </c:numRef>
          </c:val>
          <c:extLst>
            <c:ext xmlns:c16="http://schemas.microsoft.com/office/drawing/2014/chart" uri="{C3380CC4-5D6E-409C-BE32-E72D297353CC}">
              <c16:uniqueId val="{00000012-80E1-4487-9419-8E9FBA579370}"/>
            </c:ext>
          </c:extLst>
        </c:ser>
        <c:dLbls>
          <c:showLegendKey val="0"/>
          <c:showVal val="1"/>
          <c:showCatName val="0"/>
          <c:showSerName val="0"/>
          <c:showPercent val="0"/>
          <c:showBubbleSize val="0"/>
          <c:showLeaderLines val="1"/>
        </c:dLbls>
      </c:pie3DChart>
      <c:spPr>
        <a:noFill/>
        <a:ln>
          <a:no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1">
        <a:lumMod val="20000"/>
        <a:lumOff val="80000"/>
      </a:schemeClr>
    </a:solidFill>
    <a:ln w="2857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view3D>
      <c:rotX val="30"/>
      <c:rotY val="135"/>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335343116168625E-2"/>
          <c:y val="1.2001430211932313E-3"/>
          <c:w val="0.85817325616239659"/>
          <c:h val="0.83075798460574157"/>
        </c:manualLayout>
      </c:layout>
      <c:pie3DChart>
        <c:varyColors val="1"/>
        <c:ser>
          <c:idx val="0"/>
          <c:order val="0"/>
          <c:explosion val="21"/>
          <c:dPt>
            <c:idx val="0"/>
            <c:bubble3D val="0"/>
            <c:explosion val="0"/>
            <c:spPr>
              <a:solidFill>
                <a:schemeClr val="accent5">
                  <a:lumMod val="60000"/>
                  <a:lumOff val="4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3B2B-4797-A8AD-20A478F61245}"/>
              </c:ext>
            </c:extLst>
          </c:dPt>
          <c:dPt>
            <c:idx val="1"/>
            <c:bubble3D val="0"/>
            <c:explosion val="0"/>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3B2B-4797-A8AD-20A478F61245}"/>
              </c:ext>
            </c:extLst>
          </c:dPt>
          <c:dPt>
            <c:idx val="2"/>
            <c:bubble3D val="0"/>
            <c:explosion val="0"/>
            <c:spPr>
              <a:solidFill>
                <a:schemeClr val="accent6">
                  <a:lumMod val="75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3B2B-4797-A8AD-20A478F61245}"/>
              </c:ext>
            </c:extLst>
          </c:dPt>
          <c:dPt>
            <c:idx val="3"/>
            <c:bubble3D val="0"/>
            <c:explosion val="0"/>
            <c:spPr>
              <a:gradFill rotWithShape="1">
                <a:gsLst>
                  <a:gs pos="0">
                    <a:schemeClr val="accent4">
                      <a:shade val="51000"/>
                      <a:satMod val="130000"/>
                    </a:schemeClr>
                  </a:gs>
                  <a:gs pos="80000">
                    <a:schemeClr val="accent4">
                      <a:shade val="93000"/>
                      <a:satMod val="130000"/>
                    </a:schemeClr>
                  </a:gs>
                  <a:gs pos="100000">
                    <a:schemeClr val="accent4">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3B2B-4797-A8AD-20A478F61245}"/>
              </c:ext>
            </c:extLst>
          </c:dPt>
          <c:dPt>
            <c:idx val="4"/>
            <c:bubble3D val="0"/>
            <c:explosion val="0"/>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3B2B-4797-A8AD-20A478F61245}"/>
              </c:ext>
            </c:extLst>
          </c:dPt>
          <c:dPt>
            <c:idx val="5"/>
            <c:bubble3D val="0"/>
            <c:explosion val="0"/>
            <c:spPr>
              <a:solidFill>
                <a:schemeClr val="accent6">
                  <a:lumMod val="60000"/>
                  <a:lumOff val="4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3B2B-4797-A8AD-20A478F61245}"/>
              </c:ext>
            </c:extLst>
          </c:dPt>
          <c:dPt>
            <c:idx val="6"/>
            <c:bubble3D val="0"/>
            <c:explosion val="0"/>
            <c:spPr>
              <a:gradFill rotWithShape="1">
                <a:gsLst>
                  <a:gs pos="0">
                    <a:schemeClr val="accent1">
                      <a:lumMod val="60000"/>
                      <a:shade val="51000"/>
                      <a:satMod val="130000"/>
                    </a:schemeClr>
                  </a:gs>
                  <a:gs pos="80000">
                    <a:schemeClr val="accent1">
                      <a:lumMod val="60000"/>
                      <a:shade val="93000"/>
                      <a:satMod val="130000"/>
                    </a:schemeClr>
                  </a:gs>
                  <a:gs pos="100000">
                    <a:schemeClr val="accent1">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3B2B-4797-A8AD-20A478F61245}"/>
              </c:ext>
            </c:extLst>
          </c:dPt>
          <c:dPt>
            <c:idx val="7"/>
            <c:bubble3D val="0"/>
            <c:explosion val="0"/>
            <c:spPr>
              <a:gradFill rotWithShape="1">
                <a:gsLst>
                  <a:gs pos="0">
                    <a:schemeClr val="accent2">
                      <a:lumMod val="60000"/>
                      <a:shade val="51000"/>
                      <a:satMod val="130000"/>
                    </a:schemeClr>
                  </a:gs>
                  <a:gs pos="80000">
                    <a:schemeClr val="accent2">
                      <a:lumMod val="60000"/>
                      <a:shade val="93000"/>
                      <a:satMod val="130000"/>
                    </a:schemeClr>
                  </a:gs>
                  <a:gs pos="100000">
                    <a:schemeClr val="accent2">
                      <a:lumMod val="6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3B2B-4797-A8AD-20A478F61245}"/>
              </c:ext>
            </c:extLst>
          </c:dPt>
          <c:dPt>
            <c:idx val="8"/>
            <c:bubble3D val="0"/>
            <c:explosion val="0"/>
            <c:spPr>
              <a:solidFill>
                <a:srgbClr val="002060"/>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3B2B-4797-A8AD-20A478F61245}"/>
              </c:ext>
            </c:extLst>
          </c:dPt>
          <c:dPt>
            <c:idx val="9"/>
            <c:bubble3D val="0"/>
            <c:explosion val="0"/>
            <c:spPr>
              <a:solidFill>
                <a:schemeClr val="accent2">
                  <a:lumMod val="5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3B2B-4797-A8AD-20A478F61245}"/>
              </c:ext>
            </c:extLst>
          </c:dPt>
          <c:dPt>
            <c:idx val="10"/>
            <c:bubble3D val="0"/>
            <c:explosion val="19"/>
            <c:spPr>
              <a:solidFill>
                <a:schemeClr val="accent4">
                  <a:lumMod val="75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3B2B-4797-A8AD-20A478F61245}"/>
              </c:ext>
            </c:extLst>
          </c:dPt>
          <c:dLbls>
            <c:dLbl>
              <c:idx val="0"/>
              <c:layout>
                <c:manualLayout>
                  <c:x val="0.10460308250942317"/>
                  <c:y val="-0.11561688951118199"/>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3B2B-4797-A8AD-20A478F61245}"/>
                </c:ext>
              </c:extLst>
            </c:dLbl>
            <c:dLbl>
              <c:idx val="1"/>
              <c:layout>
                <c:manualLayout>
                  <c:x val="0.22567050704463743"/>
                  <c:y val="-5.4113106224194893E-2"/>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3B2B-4797-A8AD-20A478F61245}"/>
                </c:ext>
              </c:extLst>
            </c:dLbl>
            <c:dLbl>
              <c:idx val="2"/>
              <c:layout>
                <c:manualLayout>
                  <c:x val="0.31748018191517713"/>
                  <c:y val="9.5879475761592829E-3"/>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3B2B-4797-A8AD-20A478F61245}"/>
                </c:ext>
              </c:extLst>
            </c:dLbl>
            <c:dLbl>
              <c:idx val="3"/>
              <c:layout>
                <c:manualLayout>
                  <c:x val="0.3136796718841402"/>
                  <c:y val="7.880059399609779E-2"/>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3B2B-4797-A8AD-20A478F61245}"/>
                </c:ext>
              </c:extLst>
            </c:dLbl>
            <c:dLbl>
              <c:idx val="4"/>
              <c:layout>
                <c:manualLayout>
                  <c:x val="0.1971946239322814"/>
                  <c:y val="9.789357470317625E-2"/>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3B2B-4797-A8AD-20A478F61245}"/>
                </c:ext>
              </c:extLst>
            </c:dLbl>
            <c:dLbl>
              <c:idx val="5"/>
              <c:layout>
                <c:manualLayout>
                  <c:x val="4.9487692557993901E-2"/>
                  <c:y val="0.11164267168866547"/>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3B2B-4797-A8AD-20A478F61245}"/>
                </c:ext>
              </c:extLst>
            </c:dLbl>
            <c:dLbl>
              <c:idx val="6"/>
              <c:layout>
                <c:manualLayout>
                  <c:x val="-9.07786053622609E-2"/>
                  <c:y val="0.10285175893160368"/>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3B2B-4797-A8AD-20A478F61245}"/>
                </c:ext>
              </c:extLst>
            </c:dLbl>
            <c:dLbl>
              <c:idx val="7"/>
              <c:layout>
                <c:manualLayout>
                  <c:x val="-0.20033117421352839"/>
                  <c:y val="4.7657131588461493E-2"/>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3B2B-4797-A8AD-20A478F61245}"/>
                </c:ext>
              </c:extLst>
            </c:dLbl>
            <c:dLbl>
              <c:idx val="8"/>
              <c:layout>
                <c:manualLayout>
                  <c:x val="-0.22202221246756385"/>
                  <c:y val="-1.3779593653078171E-2"/>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3B2B-4797-A8AD-20A478F61245}"/>
                </c:ext>
              </c:extLst>
            </c:dLbl>
            <c:dLbl>
              <c:idx val="9"/>
              <c:layout>
                <c:manualLayout>
                  <c:x val="-0.15440333116255206"/>
                  <c:y val="-0.10361180002676039"/>
                </c:manualLayout>
              </c:layout>
              <c:dLblPos val="bestFit"/>
              <c:showLegendKey val="0"/>
              <c:showVal val="1"/>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3-3B2B-4797-A8AD-20A478F61245}"/>
                </c:ext>
              </c:extLst>
            </c:dLbl>
            <c:dLbl>
              <c:idx val="10"/>
              <c:layout>
                <c:manualLayout>
                  <c:x val="-9.4601140793381475E-3"/>
                  <c:y val="0.15321544685065117"/>
                </c:manualLayout>
              </c:layout>
              <c:numFmt formatCode="\(0.0%\)" sourceLinked="0"/>
              <c:spPr>
                <a:noFill/>
                <a:ln>
                  <a:noFill/>
                </a:ln>
                <a:effectLst/>
              </c:spPr>
              <c:txPr>
                <a:bodyPr rot="0" spcFirstLastPara="1" vertOverflow="ellipsis" vert="horz" wrap="square" lIns="38100" tIns="19050" rIns="38100" bIns="19050" anchor="ctr" anchorCtr="1">
                  <a:noAutofit/>
                </a:bodyPr>
                <a:lstStyle/>
                <a:p>
                  <a:pPr>
                    <a:defRPr sz="1100" b="1" i="0" u="none" strike="noStrike" kern="1200" baseline="0">
                      <a:solidFill>
                        <a:schemeClr val="bg1"/>
                      </a:solidFill>
                      <a:latin typeface="Book Antiqua" panose="02040602050305030304" pitchFamily="18" charset="0"/>
                      <a:ea typeface="+mn-ea"/>
                      <a:cs typeface="+mn-cs"/>
                    </a:defRPr>
                  </a:pPr>
                  <a:endParaRPr lang="en-US"/>
                </a:p>
              </c:txPr>
              <c:dLblPos val="bestFit"/>
              <c:showLegendKey val="0"/>
              <c:showVal val="1"/>
              <c:showCatName val="1"/>
              <c:showSerName val="0"/>
              <c:showPercent val="1"/>
              <c:showBubbleSize val="0"/>
              <c:extLst>
                <c:ext xmlns:c15="http://schemas.microsoft.com/office/drawing/2012/chart" uri="{CE6537A1-D6FC-4f65-9D91-7224C49458BB}">
                  <c15:layout>
                    <c:manualLayout>
                      <c:w val="0.25923451698889388"/>
                      <c:h val="4.1149787076467312E-2"/>
                    </c:manualLayout>
                  </c15:layout>
                </c:ext>
                <c:ext xmlns:c16="http://schemas.microsoft.com/office/drawing/2014/chart" uri="{C3380CC4-5D6E-409C-BE32-E72D297353CC}">
                  <c16:uniqueId val="{00000015-3B2B-4797-A8AD-20A478F61245}"/>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1" i="0" u="none" strike="noStrike" kern="1200" baseline="0">
                    <a:solidFill>
                      <a:schemeClr val="tx1"/>
                    </a:solidFill>
                    <a:latin typeface="Book Antiqua" panose="02040602050305030304" pitchFamily="18" charset="0"/>
                    <a:ea typeface="+mn-ea"/>
                    <a:cs typeface="+mn-cs"/>
                  </a:defRPr>
                </a:pPr>
                <a:endParaRPr lang="en-US"/>
              </a:p>
            </c:txPr>
            <c:dLblPos val="bestFit"/>
            <c:showLegendKey val="0"/>
            <c:showVal val="1"/>
            <c:showCatName val="1"/>
            <c:showSerName val="0"/>
            <c:showPercent val="1"/>
            <c:showBubbleSize val="0"/>
            <c:showLeaderLines val="1"/>
            <c:leaderLines>
              <c:spPr>
                <a:ln w="9525" cap="flat" cmpd="sng" algn="ctr">
                  <a:solidFill>
                    <a:schemeClr val="dk1">
                      <a:shade val="95000"/>
                      <a:satMod val="105000"/>
                    </a:schemeClr>
                  </a:solidFill>
                  <a:prstDash val="solid"/>
                </a:ln>
                <a:effectLst/>
              </c:spPr>
            </c:leaderLines>
            <c:extLst>
              <c:ext xmlns:c15="http://schemas.microsoft.com/office/drawing/2012/chart" uri="{CE6537A1-D6FC-4f65-9D91-7224C49458BB}"/>
            </c:extLst>
          </c:dLbls>
          <c:cat>
            <c:strRef>
              <c:f>'6.6 PSU RO'!$U$40:$AE$40</c:f>
              <c:strCache>
                <c:ptCount val="11"/>
                <c:pt idx="0">
                  <c:v>SC</c:v>
                </c:pt>
                <c:pt idx="1">
                  <c:v>ST</c:v>
                </c:pt>
                <c:pt idx="2">
                  <c:v>UG</c:v>
                </c:pt>
                <c:pt idx="3">
                  <c:v>PH</c:v>
                </c:pt>
                <c:pt idx="4">
                  <c:v>PMP</c:v>
                </c:pt>
                <c:pt idx="5">
                  <c:v>DEF</c:v>
                </c:pt>
                <c:pt idx="6">
                  <c:v>FF</c:v>
                </c:pt>
                <c:pt idx="7">
                  <c:v>OSP</c:v>
                </c:pt>
                <c:pt idx="8">
                  <c:v>OBC</c:v>
                </c:pt>
                <c:pt idx="9">
                  <c:v>Others</c:v>
                </c:pt>
                <c:pt idx="10">
                  <c:v>Open</c:v>
                </c:pt>
              </c:strCache>
            </c:strRef>
          </c:cat>
          <c:val>
            <c:numRef>
              <c:f>'6.6 PSU RO'!$U$41:$AE$41</c:f>
              <c:numCache>
                <c:formatCode>General</c:formatCode>
                <c:ptCount val="11"/>
                <c:pt idx="0">
                  <c:v>10812</c:v>
                </c:pt>
                <c:pt idx="1">
                  <c:v>5035</c:v>
                </c:pt>
                <c:pt idx="2">
                  <c:v>341</c:v>
                </c:pt>
                <c:pt idx="3">
                  <c:v>1417</c:v>
                </c:pt>
                <c:pt idx="4">
                  <c:v>213</c:v>
                </c:pt>
                <c:pt idx="5">
                  <c:v>771</c:v>
                </c:pt>
                <c:pt idx="6">
                  <c:v>269</c:v>
                </c:pt>
                <c:pt idx="7">
                  <c:v>101</c:v>
                </c:pt>
                <c:pt idx="8">
                  <c:v>8250</c:v>
                </c:pt>
                <c:pt idx="9">
                  <c:v>1715</c:v>
                </c:pt>
                <c:pt idx="10">
                  <c:v>74099.000000000015</c:v>
                </c:pt>
              </c:numCache>
            </c:numRef>
          </c:val>
          <c:extLst>
            <c:ext xmlns:c16="http://schemas.microsoft.com/office/drawing/2014/chart" uri="{C3380CC4-5D6E-409C-BE32-E72D297353CC}">
              <c16:uniqueId val="{00000016-3B2B-4797-A8AD-20A478F61245}"/>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rgbClr val="F5E0B5"/>
    </a:solidFill>
    <a:ln>
      <a:solidFill>
        <a:srgbClr val="D99A1D"/>
      </a:solidFill>
    </a:ln>
    <a:effectLst/>
  </c:spPr>
  <c:txPr>
    <a:bodyPr/>
    <a:lstStyle/>
    <a:p>
      <a:pPr>
        <a:defRPr/>
      </a:pPr>
      <a:endParaRPr lang="en-US"/>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40" b="1" i="0" u="none" strike="noStrike" kern="1200" cap="all" spc="50" baseline="0">
                <a:solidFill>
                  <a:schemeClr val="tx1"/>
                </a:solidFill>
                <a:latin typeface="+mn-lt"/>
                <a:ea typeface="+mn-ea"/>
                <a:cs typeface="+mn-cs"/>
              </a:defRPr>
            </a:pPr>
            <a:r>
              <a:rPr lang="en-IN"/>
              <a:t>2015-2016 </a:t>
            </a:r>
          </a:p>
        </c:rich>
      </c:tx>
      <c:layout>
        <c:manualLayout>
          <c:xMode val="edge"/>
          <c:yMode val="edge"/>
          <c:x val="0.71665702124378128"/>
          <c:y val="6.2772740871857843E-2"/>
        </c:manualLayout>
      </c:layout>
      <c:overlay val="0"/>
      <c:spPr>
        <a:noFill/>
        <a:ln>
          <a:noFill/>
        </a:ln>
        <a:effectLst/>
      </c:spPr>
      <c:txPr>
        <a:bodyPr rot="0" spcFirstLastPara="1" vertOverflow="ellipsis" vert="horz" wrap="square" anchor="ctr" anchorCtr="1"/>
        <a:lstStyle/>
        <a:p>
          <a:pPr>
            <a:defRPr sz="1440" b="1" i="0" u="none" strike="noStrike" kern="1200" cap="all" spc="50" baseline="0">
              <a:solidFill>
                <a:schemeClr val="tx1"/>
              </a:solidFill>
              <a:latin typeface="+mn-lt"/>
              <a:ea typeface="+mn-ea"/>
              <a:cs typeface="+mn-cs"/>
            </a:defRPr>
          </a:pPr>
          <a:endParaRPr lang="en-US"/>
        </a:p>
      </c:txPr>
    </c:title>
    <c:autoTitleDeleted val="0"/>
    <c:plotArea>
      <c:layout>
        <c:manualLayout>
          <c:layoutTarget val="inner"/>
          <c:xMode val="edge"/>
          <c:yMode val="edge"/>
          <c:x val="5.2529801020054459E-2"/>
          <c:y val="8.5210434056494297E-2"/>
          <c:w val="0.55094136485020062"/>
          <c:h val="0.86414019226078109"/>
        </c:manualLayout>
      </c:layout>
      <c:doughnutChart>
        <c:varyColors val="1"/>
        <c:ser>
          <c:idx val="0"/>
          <c:order val="0"/>
          <c:dPt>
            <c:idx val="0"/>
            <c:bubble3D val="0"/>
            <c:spPr>
              <a:solidFill>
                <a:schemeClr val="accent1"/>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1-49C0-44C1-A4E7-DF12DFCD0DDA}"/>
              </c:ext>
            </c:extLst>
          </c:dPt>
          <c:dPt>
            <c:idx val="1"/>
            <c:bubble3D val="0"/>
            <c:spPr>
              <a:solidFill>
                <a:schemeClr val="accent2"/>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3-49C0-44C1-A4E7-DF12DFCD0DDA}"/>
              </c:ext>
            </c:extLst>
          </c:dPt>
          <c:dPt>
            <c:idx val="2"/>
            <c:bubble3D val="0"/>
            <c:spPr>
              <a:solidFill>
                <a:schemeClr val="accent3"/>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5-49C0-44C1-A4E7-DF12DFCD0DDA}"/>
              </c:ext>
            </c:extLst>
          </c:dPt>
          <c:dPt>
            <c:idx val="3"/>
            <c:bubble3D val="0"/>
            <c:spPr>
              <a:solidFill>
                <a:schemeClr val="accent4"/>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7-49C0-44C1-A4E7-DF12DFCD0DDA}"/>
              </c:ext>
            </c:extLst>
          </c:dPt>
          <c:dPt>
            <c:idx val="4"/>
            <c:bubble3D val="0"/>
            <c:spPr>
              <a:solidFill>
                <a:schemeClr val="accent5"/>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9-49C0-44C1-A4E7-DF12DFCD0DDA}"/>
              </c:ext>
            </c:extLst>
          </c:dPt>
          <c:dLbls>
            <c:spPr>
              <a:noFill/>
              <a:ln>
                <a:noFill/>
              </a:ln>
              <a:effectLst/>
            </c:spPr>
            <c:txPr>
              <a:bodyPr rot="0" spcFirstLastPara="1" vertOverflow="ellipsis" vert="horz" wrap="square" anchor="ctr" anchorCtr="1"/>
              <a:lstStyle/>
              <a:p>
                <a:pPr>
                  <a:defRPr sz="1200" b="1" i="0" u="none" strike="noStrike" kern="1200" baseline="0">
                    <a:solidFill>
                      <a:schemeClr val="bg1"/>
                    </a:solidFill>
                    <a:latin typeface="+mn-lt"/>
                    <a:ea typeface="+mn-ea"/>
                    <a:cs typeface="+mn-cs"/>
                  </a:defRPr>
                </a:pPr>
                <a:endParaRPr lang="en-U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'6.81_Charts'!$V$44:$V$48</c:f>
              <c:strCache>
                <c:ptCount val="5"/>
                <c:pt idx="0">
                  <c:v>EAST</c:v>
                </c:pt>
                <c:pt idx="1">
                  <c:v>NORTH</c:v>
                </c:pt>
                <c:pt idx="2">
                  <c:v>NORTH EAST</c:v>
                </c:pt>
                <c:pt idx="3">
                  <c:v>SOUTH</c:v>
                </c:pt>
                <c:pt idx="4">
                  <c:v>WEST</c:v>
                </c:pt>
              </c:strCache>
            </c:strRef>
          </c:cat>
          <c:val>
            <c:numRef>
              <c:f>'6.81_Charts'!$W$44:$W$48</c:f>
              <c:numCache>
                <c:formatCode>General</c:formatCode>
                <c:ptCount val="5"/>
                <c:pt idx="0">
                  <c:v>19235.941239999796</c:v>
                </c:pt>
                <c:pt idx="1">
                  <c:v>52812.560049999403</c:v>
                </c:pt>
                <c:pt idx="2">
                  <c:v>3469.9014400000083</c:v>
                </c:pt>
                <c:pt idx="3">
                  <c:v>41724.51090999943</c:v>
                </c:pt>
                <c:pt idx="4">
                  <c:v>48410.405609999543</c:v>
                </c:pt>
              </c:numCache>
            </c:numRef>
          </c:val>
          <c:extLst>
            <c:ext xmlns:c16="http://schemas.microsoft.com/office/drawing/2014/chart" uri="{C3380CC4-5D6E-409C-BE32-E72D297353CC}">
              <c16:uniqueId val="{0000000C-49C0-44C1-A4E7-DF12DFCD0DDA}"/>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t"/>
      <c:layout>
        <c:manualLayout>
          <c:xMode val="edge"/>
          <c:yMode val="edge"/>
          <c:x val="0.73968608477929887"/>
          <c:y val="0.25816746708682414"/>
          <c:w val="0.23339386103753437"/>
          <c:h val="0.56598633478267457"/>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mn-lt"/>
              <a:ea typeface="+mn-ea"/>
              <a:cs typeface="+mn-cs"/>
            </a:defRPr>
          </a:pPr>
          <a:endParaRPr lang="en-US"/>
        </a:p>
      </c:txPr>
    </c:legend>
    <c:plotVisOnly val="1"/>
    <c:dispBlanksAs val="gap"/>
    <c:showDLblsOverMax val="0"/>
  </c:chart>
  <c:spPr>
    <a:solidFill>
      <a:schemeClr val="tx2">
        <a:lumMod val="10000"/>
        <a:lumOff val="90000"/>
      </a:schemeClr>
    </a:solidFill>
    <a:ln w="9525" cap="flat" cmpd="sng" algn="ctr">
      <a:solidFill>
        <a:schemeClr val="tx1"/>
      </a:solidFill>
      <a:round/>
    </a:ln>
    <a:effectLst/>
  </c:spPr>
  <c:txPr>
    <a:bodyPr/>
    <a:lstStyle/>
    <a:p>
      <a:pPr>
        <a:defRPr sz="1200">
          <a:solidFill>
            <a:schemeClr val="tx1"/>
          </a:solidFill>
        </a:defRPr>
      </a:pPr>
      <a:endParaRPr lang="en-US"/>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cap="all" spc="50" baseline="0">
                <a:solidFill>
                  <a:schemeClr val="tx1"/>
                </a:solidFill>
                <a:latin typeface="+mn-lt"/>
                <a:ea typeface="+mn-ea"/>
                <a:cs typeface="+mn-cs"/>
              </a:defRPr>
            </a:pPr>
            <a:r>
              <a:rPr lang="en-IN">
                <a:solidFill>
                  <a:schemeClr val="tx1"/>
                </a:solidFill>
              </a:rPr>
              <a:t>2020-2021  </a:t>
            </a:r>
          </a:p>
        </c:rich>
      </c:tx>
      <c:layout>
        <c:manualLayout>
          <c:xMode val="edge"/>
          <c:yMode val="edge"/>
          <c:x val="0.70155224523791082"/>
          <c:y val="5.9250706007735833E-2"/>
        </c:manualLayout>
      </c:layout>
      <c:overlay val="0"/>
      <c:spPr>
        <a:noFill/>
        <a:ln>
          <a:noFill/>
        </a:ln>
        <a:effectLst/>
      </c:spPr>
      <c:txPr>
        <a:bodyPr rot="0" spcFirstLastPara="1" vertOverflow="ellipsis" vert="horz" wrap="square" anchor="ctr" anchorCtr="1"/>
        <a:lstStyle/>
        <a:p>
          <a:pPr>
            <a:defRPr sz="1400" b="1" i="0" u="none" strike="noStrike" kern="1200" cap="all" spc="50" baseline="0">
              <a:solidFill>
                <a:schemeClr val="tx1"/>
              </a:solidFill>
              <a:latin typeface="+mn-lt"/>
              <a:ea typeface="+mn-ea"/>
              <a:cs typeface="+mn-cs"/>
            </a:defRPr>
          </a:pPr>
          <a:endParaRPr lang="en-US"/>
        </a:p>
      </c:txPr>
    </c:title>
    <c:autoTitleDeleted val="0"/>
    <c:plotArea>
      <c:layout>
        <c:manualLayout>
          <c:layoutTarget val="inner"/>
          <c:xMode val="edge"/>
          <c:yMode val="edge"/>
          <c:x val="5.0253546335805963E-2"/>
          <c:y val="9.3614074375381787E-2"/>
          <c:w val="0.51089186832708633"/>
          <c:h val="0.84762246336559754"/>
        </c:manualLayout>
      </c:layout>
      <c:doughnutChart>
        <c:varyColors val="1"/>
        <c:ser>
          <c:idx val="0"/>
          <c:order val="0"/>
          <c:dPt>
            <c:idx val="0"/>
            <c:bubble3D val="0"/>
            <c:spPr>
              <a:solidFill>
                <a:schemeClr val="accent6"/>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1-9FED-4D18-B436-F032F53F548A}"/>
              </c:ext>
            </c:extLst>
          </c:dPt>
          <c:dPt>
            <c:idx val="1"/>
            <c:bubble3D val="0"/>
            <c:spPr>
              <a:solidFill>
                <a:schemeClr val="accent5"/>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3-9FED-4D18-B436-F032F53F548A}"/>
              </c:ext>
            </c:extLst>
          </c:dPt>
          <c:dPt>
            <c:idx val="2"/>
            <c:bubble3D val="0"/>
            <c:spPr>
              <a:solidFill>
                <a:schemeClr val="accent4"/>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5-9FED-4D18-B436-F032F53F548A}"/>
              </c:ext>
            </c:extLst>
          </c:dPt>
          <c:dPt>
            <c:idx val="3"/>
            <c:bubble3D val="0"/>
            <c:spPr>
              <a:solidFill>
                <a:schemeClr val="accent6">
                  <a:lumMod val="60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7-9FED-4D18-B436-F032F53F548A}"/>
              </c:ext>
            </c:extLst>
          </c:dPt>
          <c:dPt>
            <c:idx val="4"/>
            <c:bubble3D val="0"/>
            <c:spPr>
              <a:solidFill>
                <a:schemeClr val="accent5">
                  <a:lumMod val="60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9-9FED-4D18-B436-F032F53F548A}"/>
              </c:ext>
            </c:extLst>
          </c:dPt>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lt1"/>
                    </a:solidFill>
                    <a:latin typeface="+mn-lt"/>
                    <a:ea typeface="+mn-ea"/>
                    <a:cs typeface="+mn-cs"/>
                  </a:defRPr>
                </a:pPr>
                <a:endParaRPr lang="en-U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'6.81_Charts'!$Y$44:$Y$48</c:f>
              <c:strCache>
                <c:ptCount val="5"/>
                <c:pt idx="0">
                  <c:v>EAST</c:v>
                </c:pt>
                <c:pt idx="1">
                  <c:v>NORTH</c:v>
                </c:pt>
                <c:pt idx="2">
                  <c:v>NORTH EAST</c:v>
                </c:pt>
                <c:pt idx="3">
                  <c:v>SOUTH</c:v>
                </c:pt>
                <c:pt idx="4">
                  <c:v>WEST</c:v>
                </c:pt>
              </c:strCache>
            </c:strRef>
          </c:cat>
          <c:val>
            <c:numRef>
              <c:f>'6.81_Charts'!$Z$44:$Z$48</c:f>
              <c:numCache>
                <c:formatCode>General</c:formatCode>
                <c:ptCount val="5"/>
                <c:pt idx="0">
                  <c:v>23246.474514003687</c:v>
                </c:pt>
                <c:pt idx="1">
                  <c:v>50812.69915224344</c:v>
                </c:pt>
                <c:pt idx="2">
                  <c:v>4262.6877363719068</c:v>
                </c:pt>
                <c:pt idx="3">
                  <c:v>42697.2104437159</c:v>
                </c:pt>
                <c:pt idx="4">
                  <c:v>51590.898164879487</c:v>
                </c:pt>
              </c:numCache>
            </c:numRef>
          </c:val>
          <c:extLst>
            <c:ext xmlns:c16="http://schemas.microsoft.com/office/drawing/2014/chart" uri="{C3380CC4-5D6E-409C-BE32-E72D297353CC}">
              <c16:uniqueId val="{0000000C-9FED-4D18-B436-F032F53F548A}"/>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t"/>
      <c:layout>
        <c:manualLayout>
          <c:xMode val="edge"/>
          <c:yMode val="edge"/>
          <c:x val="0.74677849082561198"/>
          <c:y val="0.23757217025980532"/>
          <c:w val="0.21240272649915626"/>
          <c:h val="0.57281606018896325"/>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mn-lt"/>
              <a:ea typeface="+mn-ea"/>
              <a:cs typeface="+mn-cs"/>
            </a:defRPr>
          </a:pPr>
          <a:endParaRPr lang="en-US"/>
        </a:p>
      </c:txPr>
    </c:legend>
    <c:plotVisOnly val="1"/>
    <c:dispBlanksAs val="gap"/>
    <c:showDLblsOverMax val="0"/>
  </c:chart>
  <c:spPr>
    <a:solidFill>
      <a:schemeClr val="tx2">
        <a:lumMod val="10000"/>
        <a:lumOff val="90000"/>
      </a:schemeClr>
    </a:solidFill>
    <a:ln w="9525" cap="flat" cmpd="sng" algn="ctr">
      <a:solidFill>
        <a:schemeClr val="tx1"/>
      </a:solidFill>
      <a:round/>
    </a:ln>
    <a:effectLst/>
  </c:spPr>
  <c:txPr>
    <a:bodyPr/>
    <a:lstStyle/>
    <a:p>
      <a:pPr>
        <a:defRPr/>
      </a:pPr>
      <a:endParaRPr lang="en-US"/>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cap="all" spc="50" baseline="0">
                <a:solidFill>
                  <a:schemeClr val="tx1"/>
                </a:solidFill>
                <a:latin typeface="Book Antiqua" panose="02040602050305030304" pitchFamily="18" charset="0"/>
                <a:ea typeface="+mn-ea"/>
                <a:cs typeface="+mn-cs"/>
              </a:defRPr>
            </a:pPr>
            <a:r>
              <a:rPr lang="en-US" sz="1600">
                <a:solidFill>
                  <a:schemeClr val="tx1"/>
                </a:solidFill>
              </a:rPr>
              <a:t>2025-2026 </a:t>
            </a:r>
          </a:p>
        </c:rich>
      </c:tx>
      <c:layout>
        <c:manualLayout>
          <c:xMode val="edge"/>
          <c:yMode val="edge"/>
          <c:x val="0.72271713077271549"/>
          <c:y val="6.060604252981313E-2"/>
        </c:manualLayout>
      </c:layout>
      <c:overlay val="0"/>
      <c:spPr>
        <a:noFill/>
        <a:ln>
          <a:noFill/>
        </a:ln>
        <a:effectLst/>
      </c:spPr>
      <c:txPr>
        <a:bodyPr rot="0" spcFirstLastPara="1" vertOverflow="ellipsis" vert="horz" wrap="square" anchor="ctr" anchorCtr="1"/>
        <a:lstStyle/>
        <a:p>
          <a:pPr>
            <a:defRPr sz="1600" b="1" i="0" u="none" strike="noStrike" kern="1200" cap="all" spc="50" baseline="0">
              <a:solidFill>
                <a:schemeClr val="tx1"/>
              </a:solidFill>
              <a:latin typeface="Book Antiqua" panose="02040602050305030304" pitchFamily="18" charset="0"/>
              <a:ea typeface="+mn-ea"/>
              <a:cs typeface="+mn-cs"/>
            </a:defRPr>
          </a:pPr>
          <a:endParaRPr lang="en-US"/>
        </a:p>
      </c:txPr>
    </c:title>
    <c:autoTitleDeleted val="0"/>
    <c:plotArea>
      <c:layout>
        <c:manualLayout>
          <c:layoutTarget val="inner"/>
          <c:xMode val="edge"/>
          <c:yMode val="edge"/>
          <c:x val="0.3097629946067042"/>
          <c:y val="1.8282922249188066E-2"/>
          <c:w val="0.2848163262601453"/>
          <c:h val="0.94865546747331564"/>
        </c:manualLayout>
      </c:layout>
      <c:doughnutChart>
        <c:varyColors val="1"/>
        <c:ser>
          <c:idx val="0"/>
          <c:order val="0"/>
          <c:dPt>
            <c:idx val="0"/>
            <c:bubble3D val="0"/>
            <c:spPr>
              <a:solidFill>
                <a:schemeClr val="accent6"/>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1-0E81-44C2-8E06-8D2F943AACDF}"/>
              </c:ext>
            </c:extLst>
          </c:dPt>
          <c:dPt>
            <c:idx val="1"/>
            <c:bubble3D val="0"/>
            <c:spPr>
              <a:solidFill>
                <a:schemeClr val="accent5"/>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3-0E81-44C2-8E06-8D2F943AACDF}"/>
              </c:ext>
            </c:extLst>
          </c:dPt>
          <c:dPt>
            <c:idx val="2"/>
            <c:bubble3D val="0"/>
            <c:spPr>
              <a:solidFill>
                <a:schemeClr val="accent4"/>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5-0E81-44C2-8E06-8D2F943AACDF}"/>
              </c:ext>
            </c:extLst>
          </c:dPt>
          <c:dPt>
            <c:idx val="3"/>
            <c:bubble3D val="0"/>
            <c:spPr>
              <a:solidFill>
                <a:schemeClr val="accent6">
                  <a:lumMod val="60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7-0E81-44C2-8E06-8D2F943AACDF}"/>
              </c:ext>
            </c:extLst>
          </c:dPt>
          <c:dPt>
            <c:idx val="4"/>
            <c:bubble3D val="0"/>
            <c:spPr>
              <a:solidFill>
                <a:schemeClr val="accent5">
                  <a:lumMod val="60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9-0E81-44C2-8E06-8D2F943AACDF}"/>
              </c:ext>
            </c:extLst>
          </c:dPt>
          <c:dLbls>
            <c:spPr>
              <a:noFill/>
              <a:ln>
                <a:noFill/>
              </a:ln>
              <a:effectLst/>
            </c:spPr>
            <c:txPr>
              <a:bodyPr rot="0" spcFirstLastPara="1" vertOverflow="ellipsis" vert="horz" wrap="square" lIns="38100" tIns="19050" rIns="38100" bIns="19050" anchor="ctr" anchorCtr="1">
                <a:spAutoFit/>
              </a:bodyPr>
              <a:lstStyle/>
              <a:p>
                <a:pPr>
                  <a:defRPr sz="1200" b="1" i="0" u="none" strike="noStrike" kern="1200" baseline="0">
                    <a:solidFill>
                      <a:schemeClr val="lt1"/>
                    </a:solidFill>
                    <a:latin typeface="Book Antiqua" panose="02040602050305030304" pitchFamily="18" charset="0"/>
                    <a:ea typeface="+mn-ea"/>
                    <a:cs typeface="+mn-cs"/>
                  </a:defRPr>
                </a:pPr>
                <a:endParaRPr lang="en-US"/>
              </a:p>
            </c:txPr>
            <c:showLegendKey val="0"/>
            <c:showVal val="0"/>
            <c:showCatName val="0"/>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'6.81_Charts'!$AB$44:$AB$48</c:f>
              <c:strCache>
                <c:ptCount val="5"/>
                <c:pt idx="0">
                  <c:v>EAST</c:v>
                </c:pt>
                <c:pt idx="1">
                  <c:v>NORTH</c:v>
                </c:pt>
                <c:pt idx="2">
                  <c:v>NORTH EAST</c:v>
                </c:pt>
                <c:pt idx="3">
                  <c:v>SOUTH</c:v>
                </c:pt>
                <c:pt idx="4">
                  <c:v>WEST</c:v>
                </c:pt>
              </c:strCache>
            </c:strRef>
          </c:cat>
          <c:val>
            <c:numRef>
              <c:f>'6.81_Charts'!$AC$44:$AC$48</c:f>
              <c:numCache>
                <c:formatCode>General</c:formatCode>
                <c:ptCount val="5"/>
                <c:pt idx="0">
                  <c:v>29014.180488824062</c:v>
                </c:pt>
                <c:pt idx="1">
                  <c:v>63840.008181314872</c:v>
                </c:pt>
                <c:pt idx="2">
                  <c:v>5644.5223158344506</c:v>
                </c:pt>
                <c:pt idx="3">
                  <c:v>57962.16722454891</c:v>
                </c:pt>
                <c:pt idx="4">
                  <c:v>67019.432936241967</c:v>
                </c:pt>
              </c:numCache>
            </c:numRef>
          </c:val>
          <c:extLst>
            <c:ext xmlns:c16="http://schemas.microsoft.com/office/drawing/2014/chart" uri="{C3380CC4-5D6E-409C-BE32-E72D297353CC}">
              <c16:uniqueId val="{0000000C-0E81-44C2-8E06-8D2F943AACDF}"/>
            </c:ext>
          </c:extLst>
        </c:ser>
        <c:dLbls>
          <c:showLegendKey val="0"/>
          <c:showVal val="0"/>
          <c:showCatName val="0"/>
          <c:showSerName val="0"/>
          <c:showPercent val="1"/>
          <c:showBubbleSize val="0"/>
          <c:showLeaderLines val="1"/>
        </c:dLbls>
        <c:firstSliceAng val="0"/>
        <c:holeSize val="50"/>
      </c:doughnutChart>
      <c:spPr>
        <a:noFill/>
        <a:ln>
          <a:noFill/>
        </a:ln>
        <a:effectLst/>
      </c:spPr>
    </c:plotArea>
    <c:legend>
      <c:legendPos val="t"/>
      <c:layout>
        <c:manualLayout>
          <c:xMode val="edge"/>
          <c:yMode val="edge"/>
          <c:x val="0.716582023868369"/>
          <c:y val="0.23834994786746547"/>
          <c:w val="0.15606145650814521"/>
          <c:h val="0.63357580193005203"/>
        </c:manualLayout>
      </c:layout>
      <c:overlay val="0"/>
      <c:spPr>
        <a:noFill/>
        <a:ln>
          <a:noFill/>
        </a:ln>
        <a:effectLst/>
      </c:spPr>
      <c:txPr>
        <a:bodyPr rot="0" spcFirstLastPara="1" vertOverflow="ellipsis" vert="horz" wrap="square" anchor="ctr" anchorCtr="1"/>
        <a:lstStyle/>
        <a:p>
          <a:pPr>
            <a:defRPr sz="1050" b="0" i="0" u="none" strike="noStrike" kern="1200" baseline="0">
              <a:solidFill>
                <a:schemeClr val="tx1"/>
              </a:solidFill>
              <a:latin typeface="Book Antiqua" panose="02040602050305030304" pitchFamily="18" charset="0"/>
              <a:ea typeface="+mn-ea"/>
              <a:cs typeface="+mn-cs"/>
            </a:defRPr>
          </a:pPr>
          <a:endParaRPr lang="en-US"/>
        </a:p>
      </c:txPr>
    </c:legend>
    <c:plotVisOnly val="1"/>
    <c:dispBlanksAs val="gap"/>
    <c:showDLblsOverMax val="0"/>
  </c:chart>
  <c:spPr>
    <a:solidFill>
      <a:schemeClr val="tx2">
        <a:lumMod val="10000"/>
        <a:lumOff val="90000"/>
      </a:schemeClr>
    </a:solidFill>
    <a:ln w="9525" cap="flat" cmpd="sng" algn="ctr">
      <a:solidFill>
        <a:srgbClr val="660066"/>
      </a:solidFill>
      <a:round/>
    </a:ln>
    <a:effectLst/>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9.5434011047126566E-2"/>
          <c:y val="8.0031982544709515E-2"/>
          <c:w val="0.88241078074195944"/>
          <c:h val="0.75013527155259441"/>
        </c:manualLayout>
      </c:layout>
      <c:barChart>
        <c:barDir val="col"/>
        <c:grouping val="clustered"/>
        <c:varyColors val="0"/>
        <c:ser>
          <c:idx val="0"/>
          <c:order val="0"/>
          <c:tx>
            <c:strRef>
              <c:f>'[10]11-Graph'!$M$3</c:f>
              <c:strCache>
                <c:ptCount val="1"/>
                <c:pt idx="0">
                  <c:v>Production</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c:spPr>
          <c:invertIfNegative val="0"/>
          <c:dLbls>
            <c:dLbl>
              <c:idx val="6"/>
              <c:layout>
                <c:manualLayout>
                  <c:x val="-3.9721946375372392E-3"/>
                  <c:y val="-9.0497737556561094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0B2-4BD2-8588-0B58187473D0}"/>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'[10]11-Graph'!$L$4:$L$15</c:f>
              <c:strCache>
                <c:ptCount val="12"/>
                <c:pt idx="0">
                  <c:v>LPG</c:v>
                </c:pt>
                <c:pt idx="1">
                  <c:v>MS</c:v>
                </c:pt>
                <c:pt idx="2">
                  <c:v>NAPHTHA</c:v>
                </c:pt>
                <c:pt idx="3">
                  <c:v>ATF</c:v>
                </c:pt>
                <c:pt idx="4">
                  <c:v>SKO</c:v>
                </c:pt>
                <c:pt idx="5">
                  <c:v>HSD</c:v>
                </c:pt>
                <c:pt idx="6">
                  <c:v>LDO</c:v>
                </c:pt>
                <c:pt idx="7">
                  <c:v>LUBES</c:v>
                </c:pt>
                <c:pt idx="8">
                  <c:v>FO/LSHS</c:v>
                </c:pt>
                <c:pt idx="9">
                  <c:v>BITUMEN</c:v>
                </c:pt>
                <c:pt idx="10">
                  <c:v>PET COKE</c:v>
                </c:pt>
                <c:pt idx="11">
                  <c:v>OTHERS</c:v>
                </c:pt>
              </c:strCache>
            </c:strRef>
          </c:cat>
          <c:val>
            <c:numRef>
              <c:f>'[10]11-Graph'!$M$4:$M$15</c:f>
              <c:numCache>
                <c:formatCode>General</c:formatCode>
                <c:ptCount val="12"/>
                <c:pt idx="0">
                  <c:v>12.784747430320003</c:v>
                </c:pt>
                <c:pt idx="1">
                  <c:v>48.264588936806646</c:v>
                </c:pt>
                <c:pt idx="2">
                  <c:v>18.329551020655998</c:v>
                </c:pt>
                <c:pt idx="3">
                  <c:v>17.752192582008</c:v>
                </c:pt>
                <c:pt idx="4">
                  <c:v>1.008654442553</c:v>
                </c:pt>
                <c:pt idx="5">
                  <c:v>118.00821789897998</c:v>
                </c:pt>
                <c:pt idx="6">
                  <c:v>0.63180392008099995</c:v>
                </c:pt>
                <c:pt idx="7">
                  <c:v>1.2996821793389997</c:v>
                </c:pt>
                <c:pt idx="8">
                  <c:v>10.338749668840997</c:v>
                </c:pt>
                <c:pt idx="9">
                  <c:v>5.3033462334439996</c:v>
                </c:pt>
                <c:pt idx="10">
                  <c:v>14.9634312373977</c:v>
                </c:pt>
                <c:pt idx="11">
                  <c:v>35.387143017018907</c:v>
                </c:pt>
              </c:numCache>
            </c:numRef>
          </c:val>
          <c:extLst>
            <c:ext xmlns:c16="http://schemas.microsoft.com/office/drawing/2014/chart" uri="{C3380CC4-5D6E-409C-BE32-E72D297353CC}">
              <c16:uniqueId val="{00000001-E0B2-4BD2-8588-0B58187473D0}"/>
            </c:ext>
          </c:extLst>
        </c:ser>
        <c:ser>
          <c:idx val="1"/>
          <c:order val="1"/>
          <c:tx>
            <c:strRef>
              <c:f>'[10]11-Graph'!$N$3</c:f>
              <c:strCache>
                <c:ptCount val="1"/>
                <c:pt idx="0">
                  <c:v>Consumption</c:v>
                </c:pt>
              </c:strCache>
            </c:strRef>
          </c:tx>
          <c:spPr>
            <a:gradFill rotWithShape="1">
              <a:gsLst>
                <a:gs pos="0">
                  <a:schemeClr val="accent2">
                    <a:shade val="51000"/>
                    <a:satMod val="130000"/>
                  </a:schemeClr>
                </a:gs>
                <a:gs pos="80000">
                  <a:schemeClr val="accent2">
                    <a:shade val="93000"/>
                    <a:satMod val="130000"/>
                  </a:schemeClr>
                </a:gs>
                <a:gs pos="100000">
                  <a:schemeClr val="accent2">
                    <a:shade val="94000"/>
                    <a:satMod val="135000"/>
                  </a:schemeClr>
                </a:gs>
              </a:gsLst>
              <a:lin ang="16200000" scaled="0"/>
            </a:gradFill>
            <a:ln>
              <a:noFill/>
            </a:ln>
            <a:effectLst>
              <a:outerShdw blurRad="40000" dist="23000" dir="5400000" rotWithShape="0">
                <a:srgbClr val="000000">
                  <a:alpha val="35000"/>
                </a:srgbClr>
              </a:outerShdw>
            </a:effectLst>
          </c:spPr>
          <c:invertIfNegative val="0"/>
          <c:dLbls>
            <c:dLbl>
              <c:idx val="6"/>
              <c:layout>
                <c:manualLayout>
                  <c:x val="1.9860973187686196E-3"/>
                  <c:y val="6.0331825037706283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0B2-4BD2-8588-0B58187473D0}"/>
                </c:ext>
              </c:extLst>
            </c:dLbl>
            <c:numFmt formatCode="#,##0.0" sourceLinked="0"/>
            <c:spPr>
              <a:noFill/>
              <a:ln>
                <a:noFill/>
              </a:ln>
              <a:effectLst/>
            </c:spPr>
            <c:txPr>
              <a:bodyPr rot="0" spcFirstLastPara="1" vertOverflow="ellipsis" vert="horz" wrap="square" lIns="38100" tIns="19050" rIns="38100" bIns="19050" anchor="ctr" anchorCtr="1">
                <a:spAutoFit/>
              </a:bodyPr>
              <a:lstStyle/>
              <a:p>
                <a:pPr>
                  <a:defRPr sz="1100" b="0" i="0" u="none" strike="noStrike" kern="1200" baseline="0">
                    <a:solidFill>
                      <a:sysClr val="windowText" lastClr="000000"/>
                    </a:solidFill>
                    <a:latin typeface="+mn-lt"/>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'[10]11-Graph'!$L$4:$L$15</c:f>
              <c:strCache>
                <c:ptCount val="12"/>
                <c:pt idx="0">
                  <c:v>LPG</c:v>
                </c:pt>
                <c:pt idx="1">
                  <c:v>MS</c:v>
                </c:pt>
                <c:pt idx="2">
                  <c:v>NAPHTHA</c:v>
                </c:pt>
                <c:pt idx="3">
                  <c:v>ATF</c:v>
                </c:pt>
                <c:pt idx="4">
                  <c:v>SKO</c:v>
                </c:pt>
                <c:pt idx="5">
                  <c:v>HSD</c:v>
                </c:pt>
                <c:pt idx="6">
                  <c:v>LDO</c:v>
                </c:pt>
                <c:pt idx="7">
                  <c:v>LUBES</c:v>
                </c:pt>
                <c:pt idx="8">
                  <c:v>FO/LSHS</c:v>
                </c:pt>
                <c:pt idx="9">
                  <c:v>BITUMEN</c:v>
                </c:pt>
                <c:pt idx="10">
                  <c:v>PET COKE</c:v>
                </c:pt>
                <c:pt idx="11">
                  <c:v>OTHERS</c:v>
                </c:pt>
              </c:strCache>
            </c:strRef>
          </c:cat>
          <c:val>
            <c:numRef>
              <c:f>'[10]11-Graph'!$N$4:$N$15</c:f>
              <c:numCache>
                <c:formatCode>General</c:formatCode>
                <c:ptCount val="12"/>
                <c:pt idx="0">
                  <c:v>31.320412262612184</c:v>
                </c:pt>
                <c:pt idx="1">
                  <c:v>40.004539130439262</c:v>
                </c:pt>
                <c:pt idx="2">
                  <c:v>13.153341099251001</c:v>
                </c:pt>
                <c:pt idx="3">
                  <c:v>8.9847838910909559</c:v>
                </c:pt>
                <c:pt idx="4">
                  <c:v>0.40774494099455255</c:v>
                </c:pt>
                <c:pt idx="5">
                  <c:v>91.406924104730408</c:v>
                </c:pt>
                <c:pt idx="6">
                  <c:v>0.83818154041808879</c:v>
                </c:pt>
                <c:pt idx="7">
                  <c:v>4.588941319307974</c:v>
                </c:pt>
                <c:pt idx="8">
                  <c:v>6.4585686494641497</c:v>
                </c:pt>
                <c:pt idx="9">
                  <c:v>8.3304026962500011</c:v>
                </c:pt>
                <c:pt idx="10">
                  <c:v>22.063037920999996</c:v>
                </c:pt>
                <c:pt idx="11">
                  <c:v>11.614112876202864</c:v>
                </c:pt>
              </c:numCache>
            </c:numRef>
          </c:val>
          <c:extLst>
            <c:ext xmlns:c16="http://schemas.microsoft.com/office/drawing/2014/chart" uri="{C3380CC4-5D6E-409C-BE32-E72D297353CC}">
              <c16:uniqueId val="{00000003-E0B2-4BD2-8588-0B58187473D0}"/>
            </c:ext>
          </c:extLst>
        </c:ser>
        <c:dLbls>
          <c:dLblPos val="inEnd"/>
          <c:showLegendKey val="0"/>
          <c:showVal val="1"/>
          <c:showCatName val="0"/>
          <c:showSerName val="0"/>
          <c:showPercent val="0"/>
          <c:showBubbleSize val="0"/>
        </c:dLbls>
        <c:gapWidth val="100"/>
        <c:overlap val="-24"/>
        <c:axId val="284957727"/>
        <c:axId val="2088495535"/>
      </c:barChart>
      <c:catAx>
        <c:axId val="284957727"/>
        <c:scaling>
          <c:orientation val="minMax"/>
        </c:scaling>
        <c:delete val="0"/>
        <c:axPos val="b"/>
        <c:numFmt formatCode="General" sourceLinked="1"/>
        <c:majorTickMark val="none"/>
        <c:minorTickMark val="none"/>
        <c:tickLblPos val="nextTo"/>
        <c:spPr>
          <a:noFill/>
          <a:ln w="9525" cap="flat" cmpd="sng" algn="ctr">
            <a:solidFill>
              <a:schemeClr val="tx2">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mn-lt"/>
                <a:ea typeface="+mn-ea"/>
                <a:cs typeface="+mn-cs"/>
              </a:defRPr>
            </a:pPr>
            <a:endParaRPr lang="en-US"/>
          </a:p>
        </c:txPr>
        <c:crossAx val="2088495535"/>
        <c:crosses val="autoZero"/>
        <c:auto val="1"/>
        <c:lblAlgn val="ctr"/>
        <c:lblOffset val="100"/>
        <c:noMultiLvlLbl val="0"/>
      </c:catAx>
      <c:valAx>
        <c:axId val="2088495535"/>
        <c:scaling>
          <c:orientation val="minMax"/>
        </c:scaling>
        <c:delete val="0"/>
        <c:axPos val="l"/>
        <c:majorGridlines>
          <c:spPr>
            <a:ln w="9525" cap="flat" cmpd="sng" algn="ctr">
              <a:noFill/>
              <a:round/>
            </a:ln>
            <a:effectLst/>
          </c:spPr>
        </c:majorGridlines>
        <c:title>
          <c:tx>
            <c:rich>
              <a:bodyPr rot="-54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r>
                  <a:rPr lang="en-US">
                    <a:solidFill>
                      <a:sysClr val="windowText" lastClr="000000"/>
                    </a:solidFill>
                  </a:rPr>
                  <a:t>(MMT)</a:t>
                </a:r>
              </a:p>
            </c:rich>
          </c:tx>
          <c:layout>
            <c:manualLayout>
              <c:xMode val="edge"/>
              <c:yMode val="edge"/>
              <c:x val="7.6434252364980058E-3"/>
              <c:y val="0.38855893025849197"/>
            </c:manualLayout>
          </c:layout>
          <c:overlay val="0"/>
          <c:spPr>
            <a:noFill/>
            <a:ln>
              <a:noFill/>
            </a:ln>
            <a:effectLst/>
          </c:spPr>
          <c:txPr>
            <a:bodyPr rot="-5400000" spcFirstLastPara="1" vertOverflow="ellipsis" vert="horz" wrap="square" anchor="ctr" anchorCtr="1"/>
            <a:lstStyle/>
            <a:p>
              <a:pPr>
                <a:defRPr sz="900" b="1" i="0" u="none" strike="noStrike" kern="1200" baseline="0">
                  <a:solidFill>
                    <a:sysClr val="windowText" lastClr="000000"/>
                  </a:solidFill>
                  <a:latin typeface="+mn-lt"/>
                  <a:ea typeface="+mn-ea"/>
                  <a:cs typeface="+mn-cs"/>
                </a:defRPr>
              </a:pPr>
              <a:endParaRPr lang="en-US"/>
            </a:p>
          </c:txPr>
        </c:title>
        <c:numFmt formatCode="#,##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en-US"/>
          </a:p>
        </c:txPr>
        <c:crossAx val="284957727"/>
        <c:crosses val="autoZero"/>
        <c:crossBetween val="between"/>
      </c:valAx>
      <c:spPr>
        <a:solidFill>
          <a:sysClr val="window" lastClr="FFFFFF"/>
        </a:solidFill>
        <a:ln>
          <a:noFill/>
        </a:ln>
        <a:effectLst/>
      </c:spPr>
    </c:plotArea>
    <c:legend>
      <c:legendPos val="b"/>
      <c:layout>
        <c:manualLayout>
          <c:xMode val="edge"/>
          <c:yMode val="edge"/>
          <c:x val="0.35521839620793672"/>
          <c:y val="0.90623555539720435"/>
          <c:w val="0.28956305088729578"/>
          <c:h val="5.4548758328285887E-2"/>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3">
        <a:lumMod val="20000"/>
        <a:lumOff val="80000"/>
      </a:schemeClr>
    </a:solidFill>
    <a:ln w="9525" cap="flat" cmpd="sng" algn="ctr">
      <a:solidFill>
        <a:schemeClr val="tx2">
          <a:lumMod val="15000"/>
          <a:lumOff val="85000"/>
        </a:schemeClr>
      </a:solidFill>
      <a:round/>
    </a:ln>
    <a:effectLst/>
  </c:spPr>
  <c:txPr>
    <a:bodyPr/>
    <a:lstStyle/>
    <a:p>
      <a:pPr>
        <a:defRPr/>
      </a:pPr>
      <a:endParaRPr lang="en-US"/>
    </a:p>
  </c:txPr>
  <c:printSettings>
    <c:headerFooter>
      <c:oddFooter>&amp;C&amp;8 19&amp;R&amp;8Snapshot of India's Oil &amp;&amp; Gas data -  August, 2020</c:oddFooter>
    </c:headerFooter>
    <c:pageMargins b="0.75" l="0.7" r="0.7" t="0.75" header="0.3" footer="0.3"/>
    <c:pageSetup paperSize="11" orientation="portrait"/>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Book Antiqua" panose="02040602050305030304" pitchFamily="18" charset="0"/>
                <a:ea typeface="+mn-ea"/>
                <a:cs typeface="+mn-cs"/>
              </a:defRPr>
            </a:pPr>
            <a:r>
              <a:rPr lang="en-US" sz="1400" b="1" i="0" u="none" strike="noStrike" kern="1200" spc="0" baseline="0">
                <a:solidFill>
                  <a:schemeClr val="tx1"/>
                </a:solidFill>
                <a:latin typeface="Book Antiqua" panose="02040602050305030304" pitchFamily="18" charset="0"/>
              </a:rPr>
              <a:t>Share of various products in overall POL comsumption during FY 2024-25 (P)</a:t>
            </a:r>
            <a:endParaRPr lang="en-US" b="1">
              <a:latin typeface="Book Antiqua" panose="02040602050305030304" pitchFamily="18" charset="0"/>
            </a:endParaRPr>
          </a:p>
        </c:rich>
      </c:tx>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Book Antiqua" panose="02040602050305030304" pitchFamily="18" charset="0"/>
              <a:ea typeface="+mn-ea"/>
              <a:cs typeface="+mn-cs"/>
            </a:defRPr>
          </a:pPr>
          <a:endParaRPr lang="en-US"/>
        </a:p>
      </c:txPr>
    </c:title>
    <c:autoTitleDeleted val="0"/>
    <c:view3D>
      <c:rotX val="30"/>
      <c:rotY val="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0178576136409842E-2"/>
          <c:y val="0.14507986095480416"/>
          <c:w val="0.90922641418569727"/>
          <c:h val="0.65851047494775317"/>
        </c:manualLayout>
      </c:layout>
      <c:pie3DChart>
        <c:varyColors val="1"/>
        <c:ser>
          <c:idx val="0"/>
          <c:order val="0"/>
          <c:tx>
            <c:strRef>
              <c:f>'POL Market Share'!$X$28</c:f>
              <c:strCache>
                <c:ptCount val="1"/>
                <c:pt idx="0">
                  <c:v>FY 2024-25</c:v>
                </c:pt>
              </c:strCache>
            </c:strRef>
          </c:tx>
          <c:dPt>
            <c:idx val="0"/>
            <c:bubble3D val="0"/>
            <c:spPr>
              <a:solidFill>
                <a:schemeClr val="accent1"/>
              </a:solidFill>
              <a:ln w="25400">
                <a:solidFill>
                  <a:schemeClr val="lt1"/>
                </a:solidFill>
              </a:ln>
              <a:effectLst/>
              <a:sp3d contourW="25400">
                <a:contourClr>
                  <a:schemeClr val="lt1"/>
                </a:contourClr>
              </a:sp3d>
            </c:spPr>
            <c:extLst>
              <c:ext xmlns:c16="http://schemas.microsoft.com/office/drawing/2014/chart" uri="{C3380CC4-5D6E-409C-BE32-E72D297353CC}">
                <c16:uniqueId val="{00000001-BB11-47B4-810C-900905C51857}"/>
              </c:ext>
            </c:extLst>
          </c:dPt>
          <c:dPt>
            <c:idx val="1"/>
            <c:bubble3D val="0"/>
            <c:spPr>
              <a:solidFill>
                <a:schemeClr val="accent2"/>
              </a:solidFill>
              <a:ln w="25400">
                <a:solidFill>
                  <a:schemeClr val="lt1"/>
                </a:solidFill>
              </a:ln>
              <a:effectLst/>
              <a:sp3d contourW="25400">
                <a:contourClr>
                  <a:schemeClr val="lt1"/>
                </a:contourClr>
              </a:sp3d>
            </c:spPr>
            <c:extLst>
              <c:ext xmlns:c16="http://schemas.microsoft.com/office/drawing/2014/chart" uri="{C3380CC4-5D6E-409C-BE32-E72D297353CC}">
                <c16:uniqueId val="{00000003-BB11-47B4-810C-900905C51857}"/>
              </c:ext>
            </c:extLst>
          </c:dPt>
          <c:dPt>
            <c:idx val="2"/>
            <c:bubble3D val="0"/>
            <c:spPr>
              <a:solidFill>
                <a:schemeClr val="accent3"/>
              </a:solidFill>
              <a:ln w="25400">
                <a:solidFill>
                  <a:schemeClr val="lt1"/>
                </a:solidFill>
              </a:ln>
              <a:effectLst/>
              <a:sp3d contourW="25400">
                <a:contourClr>
                  <a:schemeClr val="lt1"/>
                </a:contourClr>
              </a:sp3d>
            </c:spPr>
            <c:extLst>
              <c:ext xmlns:c16="http://schemas.microsoft.com/office/drawing/2014/chart" uri="{C3380CC4-5D6E-409C-BE32-E72D297353CC}">
                <c16:uniqueId val="{00000005-BB11-47B4-810C-900905C51857}"/>
              </c:ext>
            </c:extLst>
          </c:dPt>
          <c:dPt>
            <c:idx val="3"/>
            <c:bubble3D val="0"/>
            <c:spPr>
              <a:solidFill>
                <a:schemeClr val="accent4"/>
              </a:solidFill>
              <a:ln w="25400">
                <a:solidFill>
                  <a:schemeClr val="lt1"/>
                </a:solidFill>
              </a:ln>
              <a:effectLst/>
              <a:sp3d contourW="25400">
                <a:contourClr>
                  <a:schemeClr val="lt1"/>
                </a:contourClr>
              </a:sp3d>
            </c:spPr>
            <c:extLst>
              <c:ext xmlns:c16="http://schemas.microsoft.com/office/drawing/2014/chart" uri="{C3380CC4-5D6E-409C-BE32-E72D297353CC}">
                <c16:uniqueId val="{00000007-BB11-47B4-810C-900905C51857}"/>
              </c:ext>
            </c:extLst>
          </c:dPt>
          <c:dPt>
            <c:idx val="4"/>
            <c:bubble3D val="0"/>
            <c:spPr>
              <a:solidFill>
                <a:schemeClr val="accent5"/>
              </a:solidFill>
              <a:ln w="25400">
                <a:solidFill>
                  <a:schemeClr val="lt1"/>
                </a:solidFill>
              </a:ln>
              <a:effectLst/>
              <a:sp3d contourW="25400">
                <a:contourClr>
                  <a:schemeClr val="lt1"/>
                </a:contourClr>
              </a:sp3d>
            </c:spPr>
            <c:extLst>
              <c:ext xmlns:c16="http://schemas.microsoft.com/office/drawing/2014/chart" uri="{C3380CC4-5D6E-409C-BE32-E72D297353CC}">
                <c16:uniqueId val="{00000009-BB11-47B4-810C-900905C51857}"/>
              </c:ext>
            </c:extLst>
          </c:dPt>
          <c:dPt>
            <c:idx val="5"/>
            <c:bubble3D val="0"/>
            <c:spPr>
              <a:solidFill>
                <a:schemeClr val="accent6"/>
              </a:solidFill>
              <a:ln w="25400">
                <a:solidFill>
                  <a:schemeClr val="lt1"/>
                </a:solidFill>
              </a:ln>
              <a:effectLst/>
              <a:sp3d contourW="25400">
                <a:contourClr>
                  <a:schemeClr val="lt1"/>
                </a:contourClr>
              </a:sp3d>
            </c:spPr>
            <c:extLst>
              <c:ext xmlns:c16="http://schemas.microsoft.com/office/drawing/2014/chart" uri="{C3380CC4-5D6E-409C-BE32-E72D297353CC}">
                <c16:uniqueId val="{0000000B-BB11-47B4-810C-900905C51857}"/>
              </c:ext>
            </c:extLst>
          </c:dPt>
          <c:dPt>
            <c:idx val="6"/>
            <c:bubble3D val="0"/>
            <c:spPr>
              <a:solidFill>
                <a:schemeClr val="accent1">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D-BB11-47B4-810C-900905C51857}"/>
              </c:ext>
            </c:extLst>
          </c:dPt>
          <c:dPt>
            <c:idx val="7"/>
            <c:bubble3D val="0"/>
            <c:spPr>
              <a:solidFill>
                <a:schemeClr val="accent2">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F-BB11-47B4-810C-900905C51857}"/>
              </c:ext>
            </c:extLst>
          </c:dPt>
          <c:dPt>
            <c:idx val="8"/>
            <c:bubble3D val="0"/>
            <c:spPr>
              <a:solidFill>
                <a:schemeClr val="accent3">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1-BB11-47B4-810C-900905C51857}"/>
              </c:ext>
            </c:extLst>
          </c:dPt>
          <c:dPt>
            <c:idx val="9"/>
            <c:bubble3D val="0"/>
            <c:spPr>
              <a:solidFill>
                <a:schemeClr val="accent4">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3-BB11-47B4-810C-900905C51857}"/>
              </c:ext>
            </c:extLst>
          </c:dPt>
          <c:dPt>
            <c:idx val="10"/>
            <c:bubble3D val="0"/>
            <c:spPr>
              <a:solidFill>
                <a:schemeClr val="accent5">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5-BB11-47B4-810C-900905C51857}"/>
              </c:ext>
            </c:extLst>
          </c:dPt>
          <c:dPt>
            <c:idx val="11"/>
            <c:bubble3D val="0"/>
            <c:spPr>
              <a:solidFill>
                <a:schemeClr val="accent6">
                  <a:lumMod val="6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17-BB11-47B4-810C-900905C51857}"/>
              </c:ext>
            </c:extLst>
          </c:dPt>
          <c:dLbls>
            <c:numFmt formatCode="0.0%" sourceLinked="0"/>
            <c:spPr>
              <a:noFill/>
              <a:ln>
                <a:noFill/>
              </a:ln>
              <a:effectLst/>
            </c:spPr>
            <c:txPr>
              <a:bodyPr rot="0" spcFirstLastPara="1" vertOverflow="ellipsis" vert="horz" wrap="square" lIns="38100" tIns="19050" rIns="38100" bIns="19050" anchor="ctr" anchorCtr="1">
                <a:spAutoFit/>
              </a:bodyPr>
              <a:lstStyle/>
              <a:p>
                <a:pPr>
                  <a:defRPr sz="1200" b="0" i="0" u="none" strike="noStrike" kern="1200" baseline="0">
                    <a:solidFill>
                      <a:sysClr val="windowText" lastClr="000000"/>
                    </a:solidFill>
                    <a:latin typeface="+mn-lt"/>
                    <a:ea typeface="+mn-ea"/>
                    <a:cs typeface="+mn-cs"/>
                  </a:defRPr>
                </a:pPr>
                <a:endParaRPr lang="en-US"/>
              </a:p>
            </c:txPr>
            <c:showLegendKey val="0"/>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'POL Market Share'!$W$29:$W$40</c:f>
              <c:strCache>
                <c:ptCount val="12"/>
                <c:pt idx="0">
                  <c:v>LPG</c:v>
                </c:pt>
                <c:pt idx="1">
                  <c:v>MS</c:v>
                </c:pt>
                <c:pt idx="2">
                  <c:v>Naphtha</c:v>
                </c:pt>
                <c:pt idx="3">
                  <c:v>ATF</c:v>
                </c:pt>
                <c:pt idx="4">
                  <c:v>SKO</c:v>
                </c:pt>
                <c:pt idx="5">
                  <c:v>HSD</c:v>
                </c:pt>
                <c:pt idx="6">
                  <c:v>LDO</c:v>
                </c:pt>
                <c:pt idx="7">
                  <c:v>Lubes</c:v>
                </c:pt>
                <c:pt idx="8">
                  <c:v>FO/LSHS</c:v>
                </c:pt>
                <c:pt idx="9">
                  <c:v>Bitumen</c:v>
                </c:pt>
                <c:pt idx="10">
                  <c:v>Petcoke</c:v>
                </c:pt>
                <c:pt idx="11">
                  <c:v>Others*</c:v>
                </c:pt>
              </c:strCache>
            </c:strRef>
          </c:cat>
          <c:val>
            <c:numRef>
              <c:f>'POL Market Share'!$X$29:$X$40</c:f>
              <c:numCache>
                <c:formatCode>0.0</c:formatCode>
                <c:ptCount val="12"/>
                <c:pt idx="0">
                  <c:v>31.320412262612184</c:v>
                </c:pt>
                <c:pt idx="1">
                  <c:v>40.004539130439262</c:v>
                </c:pt>
                <c:pt idx="2">
                  <c:v>13.153341099251001</c:v>
                </c:pt>
                <c:pt idx="3">
                  <c:v>8.9847838910909559</c:v>
                </c:pt>
                <c:pt idx="4">
                  <c:v>0.40774494099455255</c:v>
                </c:pt>
                <c:pt idx="5">
                  <c:v>91.406924104730408</c:v>
                </c:pt>
                <c:pt idx="6">
                  <c:v>0.83818154041808879</c:v>
                </c:pt>
                <c:pt idx="7">
                  <c:v>4.588941319307974</c:v>
                </c:pt>
                <c:pt idx="8">
                  <c:v>6.4585686494641497</c:v>
                </c:pt>
                <c:pt idx="9">
                  <c:v>8.3304026962500011</c:v>
                </c:pt>
                <c:pt idx="10">
                  <c:v>22.063037920999996</c:v>
                </c:pt>
                <c:pt idx="11">
                  <c:v>11.614112876202864</c:v>
                </c:pt>
              </c:numCache>
            </c:numRef>
          </c:val>
          <c:extLst>
            <c:ext xmlns:c16="http://schemas.microsoft.com/office/drawing/2014/chart" uri="{C3380CC4-5D6E-409C-BE32-E72D297353CC}">
              <c16:uniqueId val="{00000018-BB11-47B4-810C-900905C51857}"/>
            </c:ext>
          </c:extLst>
        </c:ser>
        <c:dLbls>
          <c:showLegendKey val="0"/>
          <c:showVal val="0"/>
          <c:showCatName val="0"/>
          <c:showSerName val="0"/>
          <c:showPercent val="0"/>
          <c:showBubbleSize val="0"/>
          <c:showLeaderLines val="1"/>
        </c:dLbls>
      </c:pie3DChart>
      <c:spPr>
        <a:solidFill>
          <a:schemeClr val="tx2">
            <a:lumMod val="10000"/>
            <a:lumOff val="90000"/>
          </a:schemeClr>
        </a:solidFill>
        <a:ln>
          <a:noFill/>
        </a:ln>
        <a:effectLst/>
      </c:spPr>
    </c:plotArea>
    <c:legend>
      <c:legendPos val="b"/>
      <c:overlay val="0"/>
      <c:spPr>
        <a:noFill/>
        <a:ln>
          <a:noFill/>
        </a:ln>
        <a:effectLst/>
      </c:spPr>
      <c:txPr>
        <a:bodyPr rot="0" spcFirstLastPara="1" vertOverflow="ellipsis" vert="horz" wrap="square" anchor="ctr" anchorCtr="1"/>
        <a:lstStyle/>
        <a:p>
          <a:pPr>
            <a:defRPr sz="12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tx2">
        <a:lumMod val="25000"/>
        <a:lumOff val="75000"/>
      </a:schemeClr>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4"/>
    </mc:Choice>
    <mc:Fallback>
      <c:style val="4"/>
    </mc:Fallback>
  </mc:AlternateContent>
  <c:clrMapOvr bg1="lt1" tx1="dk1" bg2="lt2" tx2="dk2" accent1="accent1" accent2="accent2" accent3="accent3" accent4="accent4" accent5="accent5" accent6="accent6" hlink="hlink" folHlink="folHlink"/>
  <c:chart>
    <c:title>
      <c:tx>
        <c:rich>
          <a:bodyPr/>
          <a:lstStyle/>
          <a:p>
            <a:pPr>
              <a:defRPr sz="900"/>
            </a:pPr>
            <a:r>
              <a:rPr lang="en-US" sz="1400"/>
              <a:t>Figure 7.1: Numbers of Active Domestic LPG Customers     </a:t>
            </a:r>
          </a:p>
          <a:p>
            <a:pPr>
              <a:defRPr sz="900"/>
            </a:pPr>
            <a:r>
              <a:rPr lang="en-US" sz="1100"/>
              <a:t>(In Crore) as on 1st April</a:t>
            </a:r>
          </a:p>
        </c:rich>
      </c:tx>
      <c:layout>
        <c:manualLayout>
          <c:xMode val="edge"/>
          <c:yMode val="edge"/>
          <c:x val="0.3266409008420717"/>
          <c:y val="0"/>
        </c:manualLayout>
      </c:layout>
      <c:overlay val="0"/>
    </c:title>
    <c:autoTitleDeleted val="0"/>
    <c:plotArea>
      <c:layout>
        <c:manualLayout>
          <c:layoutTarget val="inner"/>
          <c:xMode val="edge"/>
          <c:yMode val="edge"/>
          <c:x val="3.6426497796743489E-4"/>
          <c:y val="0.1732681644623158"/>
          <c:w val="0.99803390053581764"/>
          <c:h val="0.71150474341713899"/>
        </c:manualLayout>
      </c:layout>
      <c:lineChart>
        <c:grouping val="standard"/>
        <c:varyColors val="0"/>
        <c:ser>
          <c:idx val="0"/>
          <c:order val="0"/>
          <c:tx>
            <c:strRef>
              <c:f>[6]graphs!$A$20</c:f>
              <c:strCache>
                <c:ptCount val="1"/>
                <c:pt idx="0">
                  <c:v>LPG Active Domstic Customers (in Lacs)</c:v>
                </c:pt>
              </c:strCache>
            </c:strRef>
          </c:tx>
          <c:dLbls>
            <c:numFmt formatCode="#,##0.00" sourceLinked="0"/>
            <c:spPr>
              <a:noFill/>
              <a:ln>
                <a:noFill/>
              </a:ln>
              <a:effectLst/>
            </c:spPr>
            <c:txPr>
              <a:bodyPr wrap="square" lIns="38100" tIns="19050" rIns="38100" bIns="19050" anchor="ctr">
                <a:spAutoFit/>
              </a:bodyPr>
              <a:lstStyle/>
              <a:p>
                <a:pPr>
                  <a:defRPr sz="1100"/>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[6]graphs!$B$19:$M$19</c:f>
              <c:strCache>
                <c:ptCount val="12"/>
                <c:pt idx="0">
                  <c:v>2015</c:v>
                </c:pt>
                <c:pt idx="1">
                  <c:v>2016</c:v>
                </c:pt>
                <c:pt idx="2">
                  <c:v>2017</c:v>
                </c:pt>
                <c:pt idx="3">
                  <c:v>2018</c:v>
                </c:pt>
                <c:pt idx="4">
                  <c:v>2019</c:v>
                </c:pt>
                <c:pt idx="5">
                  <c:v>2020</c:v>
                </c:pt>
                <c:pt idx="6">
                  <c:v>2021</c:v>
                </c:pt>
                <c:pt idx="7">
                  <c:v>2022</c:v>
                </c:pt>
                <c:pt idx="8">
                  <c:v>2023</c:v>
                </c:pt>
                <c:pt idx="9">
                  <c:v>2024</c:v>
                </c:pt>
                <c:pt idx="10">
                  <c:v>2025</c:v>
                </c:pt>
                <c:pt idx="11">
                  <c:v>2026</c:v>
                </c:pt>
              </c:strCache>
            </c:strRef>
          </c:cat>
          <c:val>
            <c:numRef>
              <c:f>[6]graphs!$B$20:$M$20</c:f>
              <c:numCache>
                <c:formatCode>General</c:formatCode>
                <c:ptCount val="12"/>
                <c:pt idx="0">
                  <c:v>14.86</c:v>
                </c:pt>
                <c:pt idx="1">
                  <c:v>16.63</c:v>
                </c:pt>
                <c:pt idx="2">
                  <c:v>19.88</c:v>
                </c:pt>
                <c:pt idx="3">
                  <c:v>22.426596700000001</c:v>
                </c:pt>
                <c:pt idx="4">
                  <c:v>26.536522500000004</c:v>
                </c:pt>
                <c:pt idx="5">
                  <c:v>27.87</c:v>
                </c:pt>
                <c:pt idx="6">
                  <c:v>28.948314499999995</c:v>
                </c:pt>
                <c:pt idx="7">
                  <c:v>30.5</c:v>
                </c:pt>
                <c:pt idx="8">
                  <c:v>31.403278100000001</c:v>
                </c:pt>
                <c:pt idx="9">
                  <c:v>32.4218434</c:v>
                </c:pt>
                <c:pt idx="10">
                  <c:v>32.97</c:v>
                </c:pt>
                <c:pt idx="11">
                  <c:v>33.392099999999999</c:v>
                </c:pt>
              </c:numCache>
            </c:numRef>
          </c:val>
          <c:smooth val="0"/>
          <c:extLst>
            <c:ext xmlns:c16="http://schemas.microsoft.com/office/drawing/2014/chart" uri="{C3380CC4-5D6E-409C-BE32-E72D297353CC}">
              <c16:uniqueId val="{00000000-822D-4B84-B8BA-F009117003DB}"/>
            </c:ext>
          </c:extLst>
        </c:ser>
        <c:dLbls>
          <c:showLegendKey val="0"/>
          <c:showVal val="0"/>
          <c:showCatName val="0"/>
          <c:showSerName val="0"/>
          <c:showPercent val="0"/>
          <c:showBubbleSize val="0"/>
        </c:dLbls>
        <c:marker val="1"/>
        <c:smooth val="0"/>
        <c:axId val="160794112"/>
        <c:axId val="164640640"/>
      </c:lineChart>
      <c:catAx>
        <c:axId val="160794112"/>
        <c:scaling>
          <c:orientation val="minMax"/>
        </c:scaling>
        <c:delete val="0"/>
        <c:axPos val="b"/>
        <c:numFmt formatCode="General" sourceLinked="1"/>
        <c:majorTickMark val="out"/>
        <c:minorTickMark val="none"/>
        <c:tickLblPos val="nextTo"/>
        <c:txPr>
          <a:bodyPr/>
          <a:lstStyle/>
          <a:p>
            <a:pPr>
              <a:defRPr sz="1050"/>
            </a:pPr>
            <a:endParaRPr lang="en-US"/>
          </a:p>
        </c:txPr>
        <c:crossAx val="164640640"/>
        <c:crosses val="autoZero"/>
        <c:auto val="1"/>
        <c:lblAlgn val="ctr"/>
        <c:lblOffset val="100"/>
        <c:noMultiLvlLbl val="0"/>
      </c:catAx>
      <c:valAx>
        <c:axId val="164640640"/>
        <c:scaling>
          <c:orientation val="minMax"/>
        </c:scaling>
        <c:delete val="1"/>
        <c:axPos val="l"/>
        <c:numFmt formatCode="General" sourceLinked="1"/>
        <c:majorTickMark val="out"/>
        <c:minorTickMark val="none"/>
        <c:tickLblPos val="nextTo"/>
        <c:crossAx val="160794112"/>
        <c:crosses val="autoZero"/>
        <c:crossBetween val="between"/>
      </c:valAx>
    </c:plotArea>
    <c:plotVisOnly val="1"/>
    <c:dispBlanksAs val="gap"/>
    <c:showDLblsOverMax val="0"/>
  </c:chart>
  <c:spPr>
    <a:solidFill>
      <a:srgbClr val="0F9ED5">
        <a:lumMod val="20000"/>
        <a:lumOff val="80000"/>
      </a:srgbClr>
    </a:solidFill>
    <a:ln w="28575"/>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spc="0" baseline="0">
                <a:solidFill>
                  <a:schemeClr val="tx1">
                    <a:lumMod val="65000"/>
                    <a:lumOff val="35000"/>
                  </a:schemeClr>
                </a:solidFill>
                <a:latin typeface="+mn-lt"/>
                <a:ea typeface="+mn-ea"/>
                <a:cs typeface="+mn-cs"/>
              </a:defRPr>
            </a:pPr>
            <a:r>
              <a:rPr lang="en-US" b="1"/>
              <a:t>Figure 7.2: Active Domestic LPG Connections (Lakhs)</a:t>
            </a:r>
          </a:p>
        </c:rich>
      </c:tx>
      <c:overlay val="0"/>
      <c:spPr>
        <a:noFill/>
        <a:ln>
          <a:noFill/>
        </a:ln>
        <a:effectLst/>
      </c:spPr>
      <c:txPr>
        <a:bodyPr rot="0" spcFirstLastPara="1" vertOverflow="ellipsis" vert="horz" wrap="square" anchor="ctr" anchorCtr="1"/>
        <a:lstStyle/>
        <a:p>
          <a:pPr>
            <a:defRPr sz="1680" b="1"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manualLayout>
          <c:layoutTarget val="inner"/>
          <c:xMode val="edge"/>
          <c:yMode val="edge"/>
          <c:x val="7.2089448599767278E-2"/>
          <c:y val="0.15678770424302482"/>
          <c:w val="0.91436613589751004"/>
          <c:h val="0.70384073230429023"/>
        </c:manualLayout>
      </c:layout>
      <c:barChart>
        <c:barDir val="col"/>
        <c:grouping val="clustered"/>
        <c:varyColors val="0"/>
        <c:ser>
          <c:idx val="0"/>
          <c:order val="0"/>
          <c:tx>
            <c:strRef>
              <c:f>'7.2'!$K$49</c:f>
              <c:strCache>
                <c:ptCount val="1"/>
                <c:pt idx="0">
                  <c:v>01.4.2025</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'7.2'!$J$50:$J$55</c:f>
              <c:strCache>
                <c:ptCount val="6"/>
                <c:pt idx="0">
                  <c:v>North</c:v>
                </c:pt>
                <c:pt idx="1">
                  <c:v>North-East</c:v>
                </c:pt>
                <c:pt idx="2">
                  <c:v>East</c:v>
                </c:pt>
                <c:pt idx="3">
                  <c:v>West</c:v>
                </c:pt>
                <c:pt idx="4">
                  <c:v>South</c:v>
                </c:pt>
                <c:pt idx="5">
                  <c:v>ALL INDIA</c:v>
                </c:pt>
              </c:strCache>
            </c:strRef>
          </c:cat>
          <c:val>
            <c:numRef>
              <c:f>'7.2'!$K$50:$K$55</c:f>
              <c:numCache>
                <c:formatCode>0</c:formatCode>
                <c:ptCount val="6"/>
                <c:pt idx="0">
                  <c:v>997.28860000000009</c:v>
                </c:pt>
                <c:pt idx="1">
                  <c:v>125.27280000000002</c:v>
                </c:pt>
                <c:pt idx="2">
                  <c:v>668.74875999999995</c:v>
                </c:pt>
                <c:pt idx="3">
                  <c:v>690.73429999999996</c:v>
                </c:pt>
                <c:pt idx="4">
                  <c:v>814.93651</c:v>
                </c:pt>
                <c:pt idx="5">
                  <c:v>3296.9809699999996</c:v>
                </c:pt>
              </c:numCache>
            </c:numRef>
          </c:val>
          <c:extLst>
            <c:ext xmlns:c16="http://schemas.microsoft.com/office/drawing/2014/chart" uri="{C3380CC4-5D6E-409C-BE32-E72D297353CC}">
              <c16:uniqueId val="{00000000-8CFC-492B-A175-38A75C97A0D9}"/>
            </c:ext>
          </c:extLst>
        </c:ser>
        <c:ser>
          <c:idx val="1"/>
          <c:order val="1"/>
          <c:tx>
            <c:strRef>
              <c:f>'7.2'!$L$49</c:f>
              <c:strCache>
                <c:ptCount val="1"/>
                <c:pt idx="0">
                  <c:v>01.4.2026</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'7.2'!$J$50:$J$55</c:f>
              <c:strCache>
                <c:ptCount val="6"/>
                <c:pt idx="0">
                  <c:v>North</c:v>
                </c:pt>
                <c:pt idx="1">
                  <c:v>North-East</c:v>
                </c:pt>
                <c:pt idx="2">
                  <c:v>East</c:v>
                </c:pt>
                <c:pt idx="3">
                  <c:v>West</c:v>
                </c:pt>
                <c:pt idx="4">
                  <c:v>South</c:v>
                </c:pt>
                <c:pt idx="5">
                  <c:v>ALL INDIA</c:v>
                </c:pt>
              </c:strCache>
            </c:strRef>
          </c:cat>
          <c:val>
            <c:numRef>
              <c:f>'7.2'!$L$50:$L$55</c:f>
              <c:numCache>
                <c:formatCode>0</c:formatCode>
                <c:ptCount val="6"/>
                <c:pt idx="0">
                  <c:v>1007.62126</c:v>
                </c:pt>
                <c:pt idx="1">
                  <c:v>127.86699</c:v>
                </c:pt>
                <c:pt idx="2">
                  <c:v>679.38434000000007</c:v>
                </c:pt>
                <c:pt idx="3">
                  <c:v>698.8744200000001</c:v>
                </c:pt>
                <c:pt idx="4">
                  <c:v>825.4670900000001</c:v>
                </c:pt>
                <c:pt idx="5">
                  <c:v>3339.2141000000001</c:v>
                </c:pt>
              </c:numCache>
            </c:numRef>
          </c:val>
          <c:extLst>
            <c:ext xmlns:c16="http://schemas.microsoft.com/office/drawing/2014/chart" uri="{C3380CC4-5D6E-409C-BE32-E72D297353CC}">
              <c16:uniqueId val="{00000001-8CFC-492B-A175-38A75C97A0D9}"/>
            </c:ext>
          </c:extLst>
        </c:ser>
        <c:dLbls>
          <c:showLegendKey val="0"/>
          <c:showVal val="0"/>
          <c:showCatName val="0"/>
          <c:showSerName val="0"/>
          <c:showPercent val="0"/>
          <c:showBubbleSize val="0"/>
        </c:dLbls>
        <c:gapWidth val="219"/>
        <c:overlap val="-27"/>
        <c:axId val="985651023"/>
        <c:axId val="985658703"/>
      </c:barChart>
      <c:catAx>
        <c:axId val="985651023"/>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985658703"/>
        <c:crosses val="autoZero"/>
        <c:auto val="1"/>
        <c:lblAlgn val="ctr"/>
        <c:lblOffset val="100"/>
        <c:noMultiLvlLbl val="0"/>
      </c:catAx>
      <c:valAx>
        <c:axId val="985658703"/>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crossAx val="985651023"/>
        <c:crosses val="autoZero"/>
        <c:crossBetween val="between"/>
      </c:valAx>
      <c:spPr>
        <a:noFill/>
        <a:ln>
          <a:noFill/>
        </a:ln>
        <a:effectLst/>
      </c:spPr>
    </c:plotArea>
    <c:legend>
      <c:legendPos val="b"/>
      <c:layout>
        <c:manualLayout>
          <c:xMode val="edge"/>
          <c:yMode val="edge"/>
          <c:x val="0.41718719429323459"/>
          <c:y val="0.17381961696475889"/>
          <c:w val="0.23473131350580859"/>
          <c:h val="8.3461218197958889E-2"/>
        </c:manualLayout>
      </c:layout>
      <c:overlay val="0"/>
      <c:spPr>
        <a:noFill/>
        <a:ln>
          <a:noFill/>
        </a:ln>
        <a:effectLst/>
      </c:spPr>
      <c:txPr>
        <a:bodyPr rot="0" spcFirstLastPara="1" vertOverflow="ellipsis" vert="horz" wrap="square" anchor="ctr" anchorCtr="1"/>
        <a:lstStyle/>
        <a:p>
          <a:pPr>
            <a:defRPr sz="14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sz="1400"/>
      </a:pPr>
      <a:endParaRPr lang="en-US"/>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spc="0" baseline="0">
                <a:solidFill>
                  <a:sysClr val="windowText" lastClr="000000"/>
                </a:solidFill>
                <a:latin typeface="Book Antiqua" panose="02040602050305030304" pitchFamily="18" charset="0"/>
                <a:ea typeface="+mn-ea"/>
                <a:cs typeface="+mn-cs"/>
              </a:defRPr>
            </a:pPr>
            <a:r>
              <a:rPr lang="en-US"/>
              <a:t>Figure 7.3: Region-wise PMUY connections (%)</a:t>
            </a:r>
            <a:endParaRPr lang="en-IN"/>
          </a:p>
        </c:rich>
      </c:tx>
      <c:overlay val="0"/>
      <c:spPr>
        <a:noFill/>
        <a:ln>
          <a:noFill/>
        </a:ln>
        <a:effectLst/>
      </c:spPr>
      <c:txPr>
        <a:bodyPr rot="0" spcFirstLastPara="1" vertOverflow="ellipsis" vert="horz" wrap="square" anchor="ctr" anchorCtr="1"/>
        <a:lstStyle/>
        <a:p>
          <a:pPr>
            <a:defRPr sz="1680" b="1" i="0" u="none" strike="noStrike" kern="1200" spc="0" baseline="0">
              <a:solidFill>
                <a:sysClr val="windowText" lastClr="000000"/>
              </a:solidFill>
              <a:latin typeface="Book Antiqua" panose="02040602050305030304" pitchFamily="18" charset="0"/>
              <a:ea typeface="+mn-ea"/>
              <a:cs typeface="+mn-cs"/>
            </a:defRPr>
          </a:pPr>
          <a:endParaRPr lang="en-IN"/>
        </a:p>
      </c:txPr>
    </c:title>
    <c:autoTitleDeleted val="0"/>
    <c:plotArea>
      <c:layout>
        <c:manualLayout>
          <c:layoutTarget val="inner"/>
          <c:xMode val="edge"/>
          <c:yMode val="edge"/>
          <c:x val="1.3998380316253172E-2"/>
          <c:y val="0.19175567811380009"/>
          <c:w val="0.97200323936749367"/>
          <c:h val="0.65697537889729085"/>
        </c:manualLayout>
      </c:layout>
      <c:barChart>
        <c:barDir val="col"/>
        <c:grouping val="clustered"/>
        <c:varyColors val="0"/>
        <c:ser>
          <c:idx val="0"/>
          <c:order val="0"/>
          <c:tx>
            <c:strRef>
              <c:f>'7.3'!$J$51</c:f>
              <c:strCache>
                <c:ptCount val="1"/>
                <c:pt idx="0">
                  <c:v>01.4.2025</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'7.3'!$I$52:$I$56</c:f>
              <c:strCache>
                <c:ptCount val="5"/>
                <c:pt idx="0">
                  <c:v>North</c:v>
                </c:pt>
                <c:pt idx="1">
                  <c:v>North-East</c:v>
                </c:pt>
                <c:pt idx="2">
                  <c:v>East</c:v>
                </c:pt>
                <c:pt idx="3">
                  <c:v>West</c:v>
                </c:pt>
                <c:pt idx="4">
                  <c:v>South</c:v>
                </c:pt>
              </c:strCache>
            </c:strRef>
          </c:cat>
          <c:val>
            <c:numRef>
              <c:f>'7.3'!$J$52:$J$56</c:f>
              <c:numCache>
                <c:formatCode>0.0%</c:formatCode>
                <c:ptCount val="5"/>
                <c:pt idx="0">
                  <c:v>0.29685200034423448</c:v>
                </c:pt>
                <c:pt idx="1">
                  <c:v>5.9885226521742337E-2</c:v>
                </c:pt>
                <c:pt idx="2">
                  <c:v>0.32383879218445238</c:v>
                </c:pt>
                <c:pt idx="3">
                  <c:v>0.21479056416556874</c:v>
                </c:pt>
                <c:pt idx="4">
                  <c:v>0.10463341678400202</c:v>
                </c:pt>
              </c:numCache>
            </c:numRef>
          </c:val>
          <c:extLst>
            <c:ext xmlns:c16="http://schemas.microsoft.com/office/drawing/2014/chart" uri="{C3380CC4-5D6E-409C-BE32-E72D297353CC}">
              <c16:uniqueId val="{00000000-2127-4063-A146-BF3E05E753BE}"/>
            </c:ext>
          </c:extLst>
        </c:ser>
        <c:ser>
          <c:idx val="1"/>
          <c:order val="1"/>
          <c:tx>
            <c:strRef>
              <c:f>'7.3'!$K$51</c:f>
              <c:strCache>
                <c:ptCount val="1"/>
                <c:pt idx="0">
                  <c:v>01.4.2026</c:v>
                </c:pt>
              </c:strCache>
            </c:strRef>
          </c:tx>
          <c:spPr>
            <a:solidFill>
              <a:schemeClr val="accent2"/>
            </a:solidFill>
            <a:ln>
              <a:noFill/>
            </a:ln>
            <a:effectLst/>
          </c:spPr>
          <c:invertIfNegative val="0"/>
          <c:dLbls>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'7.3'!$I$52:$I$56</c:f>
              <c:strCache>
                <c:ptCount val="5"/>
                <c:pt idx="0">
                  <c:v>North</c:v>
                </c:pt>
                <c:pt idx="1">
                  <c:v>North-East</c:v>
                </c:pt>
                <c:pt idx="2">
                  <c:v>East</c:v>
                </c:pt>
                <c:pt idx="3">
                  <c:v>West</c:v>
                </c:pt>
                <c:pt idx="4">
                  <c:v>South</c:v>
                </c:pt>
              </c:strCache>
            </c:strRef>
          </c:cat>
          <c:val>
            <c:numRef>
              <c:f>'7.3'!$K$52:$K$56</c:f>
              <c:numCache>
                <c:formatCode>0.0%</c:formatCode>
                <c:ptCount val="5"/>
                <c:pt idx="0">
                  <c:v>0.29632197158332929</c:v>
                </c:pt>
                <c:pt idx="1">
                  <c:v>6.0409154549174789E-2</c:v>
                </c:pt>
                <c:pt idx="2">
                  <c:v>0.32235091202946092</c:v>
                </c:pt>
                <c:pt idx="3">
                  <c:v>0.21475293055438588</c:v>
                </c:pt>
                <c:pt idx="4">
                  <c:v>0.10616503128364903</c:v>
                </c:pt>
              </c:numCache>
            </c:numRef>
          </c:val>
          <c:extLst>
            <c:ext xmlns:c16="http://schemas.microsoft.com/office/drawing/2014/chart" uri="{C3380CC4-5D6E-409C-BE32-E72D297353CC}">
              <c16:uniqueId val="{00000001-2127-4063-A146-BF3E05E753BE}"/>
            </c:ext>
          </c:extLst>
        </c:ser>
        <c:dLbls>
          <c:dLblPos val="outEnd"/>
          <c:showLegendKey val="0"/>
          <c:showVal val="1"/>
          <c:showCatName val="0"/>
          <c:showSerName val="0"/>
          <c:showPercent val="0"/>
          <c:showBubbleSize val="0"/>
        </c:dLbls>
        <c:gapWidth val="219"/>
        <c:overlap val="-27"/>
        <c:axId val="919189776"/>
        <c:axId val="919161936"/>
      </c:barChart>
      <c:catAx>
        <c:axId val="91918977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crossAx val="919161936"/>
        <c:crosses val="autoZero"/>
        <c:auto val="1"/>
        <c:lblAlgn val="ctr"/>
        <c:lblOffset val="100"/>
        <c:noMultiLvlLbl val="0"/>
      </c:catAx>
      <c:valAx>
        <c:axId val="919161936"/>
        <c:scaling>
          <c:orientation val="minMax"/>
        </c:scaling>
        <c:delete val="1"/>
        <c:axPos val="l"/>
        <c:numFmt formatCode="0.0%" sourceLinked="1"/>
        <c:majorTickMark val="none"/>
        <c:minorTickMark val="none"/>
        <c:tickLblPos val="nextTo"/>
        <c:crossAx val="919189776"/>
        <c:crosses val="autoZero"/>
        <c:crossBetween val="between"/>
      </c:valAx>
      <c:spPr>
        <a:noFill/>
        <a:ln w="12700">
          <a:solidFill>
            <a:schemeClr val="tx1">
              <a:alpha val="0"/>
            </a:schemeClr>
          </a:solidFill>
        </a:ln>
        <a:effectLst/>
      </c:spPr>
    </c:plotArea>
    <c:legend>
      <c:legendPos val="b"/>
      <c:layout>
        <c:manualLayout>
          <c:xMode val="edge"/>
          <c:yMode val="edge"/>
          <c:x val="0.74234272564196657"/>
          <c:y val="0.16404727803907473"/>
          <c:w val="0.23813990484307887"/>
          <c:h val="0.10704293931716334"/>
        </c:manualLayout>
      </c:layout>
      <c:overlay val="0"/>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Book Antiqua" panose="02040602050305030304" pitchFamily="18" charset="0"/>
              <a:ea typeface="+mn-ea"/>
              <a:cs typeface="+mn-cs"/>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accent4">
        <a:lumMod val="20000"/>
        <a:lumOff val="80000"/>
      </a:schemeClr>
    </a:solidFill>
    <a:ln w="25400" cap="flat" cmpd="sng" algn="ctr">
      <a:solidFill>
        <a:srgbClr val="D99A1D"/>
      </a:solidFill>
      <a:round/>
    </a:ln>
    <a:effectLst/>
  </c:spPr>
  <c:txPr>
    <a:bodyPr/>
    <a:lstStyle/>
    <a:p>
      <a:pPr>
        <a:defRPr sz="1400" b="1">
          <a:solidFill>
            <a:sysClr val="windowText" lastClr="000000"/>
          </a:solidFill>
          <a:latin typeface="Book Antiqua" panose="02040602050305030304" pitchFamily="18" charset="0"/>
        </a:defRPr>
      </a:pPr>
      <a:endParaRPr lang="en-US"/>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r>
              <a:rPr lang="en-IN" sz="1200" b="1" i="0" u="none" strike="noStrike" kern="1200" spc="0" baseline="0">
                <a:solidFill>
                  <a:sysClr val="windowText" lastClr="000000"/>
                </a:solidFill>
                <a:latin typeface="Book Antiqua" panose="02040602050305030304" pitchFamily="18" charset="0"/>
              </a:rPr>
              <a:t>Figure No 7.4: Region-wise percentage of new enrolments in FY 2025-26 &amp; FY 2024-25 </a:t>
            </a:r>
          </a:p>
        </c:rich>
      </c:tx>
      <c:overlay val="0"/>
      <c:spPr>
        <a:noFill/>
        <a:ln>
          <a:noFill/>
        </a:ln>
        <a:effectLst/>
      </c:spPr>
      <c:txPr>
        <a:bodyPr rot="0" spcFirstLastPara="1" vertOverflow="ellipsis" vert="horz" wrap="square" anchor="ctr" anchorCtr="1"/>
        <a:lstStyle/>
        <a:p>
          <a:pPr>
            <a:defRPr sz="1200" b="1"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col"/>
        <c:grouping val="clustered"/>
        <c:varyColors val="0"/>
        <c:ser>
          <c:idx val="0"/>
          <c:order val="0"/>
          <c:tx>
            <c:strRef>
              <c:f>'7.4'!$C$65</c:f>
              <c:strCache>
                <c:ptCount val="1"/>
                <c:pt idx="0">
                  <c:v>2025-26</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'7.4'!$B$66:$B$70</c:f>
              <c:strCache>
                <c:ptCount val="5"/>
                <c:pt idx="0">
                  <c:v>North</c:v>
                </c:pt>
                <c:pt idx="1">
                  <c:v>North East</c:v>
                </c:pt>
                <c:pt idx="2">
                  <c:v>East</c:v>
                </c:pt>
                <c:pt idx="3">
                  <c:v>West</c:v>
                </c:pt>
                <c:pt idx="4">
                  <c:v>South</c:v>
                </c:pt>
              </c:strCache>
            </c:strRef>
          </c:cat>
          <c:val>
            <c:numRef>
              <c:f>'7.4'!$C$66:$C$70</c:f>
              <c:numCache>
                <c:formatCode>0.0%</c:formatCode>
                <c:ptCount val="5"/>
                <c:pt idx="0">
                  <c:v>0.271002767495163</c:v>
                </c:pt>
                <c:pt idx="1">
                  <c:v>5.0221256250459208E-2</c:v>
                </c:pt>
                <c:pt idx="2">
                  <c:v>0.19661819617616155</c:v>
                </c:pt>
                <c:pt idx="3">
                  <c:v>0.22031005742268728</c:v>
                </c:pt>
                <c:pt idx="4">
                  <c:v>0.26184772265552897</c:v>
                </c:pt>
              </c:numCache>
            </c:numRef>
          </c:val>
          <c:extLst>
            <c:ext xmlns:c16="http://schemas.microsoft.com/office/drawing/2014/chart" uri="{C3380CC4-5D6E-409C-BE32-E72D297353CC}">
              <c16:uniqueId val="{00000000-3231-4A07-873E-F76140195786}"/>
            </c:ext>
          </c:extLst>
        </c:ser>
        <c:ser>
          <c:idx val="1"/>
          <c:order val="1"/>
          <c:tx>
            <c:strRef>
              <c:f>'7.4'!$D$65</c:f>
              <c:strCache>
                <c:ptCount val="1"/>
                <c:pt idx="0">
                  <c:v>2024-25</c:v>
                </c:pt>
              </c:strCache>
            </c:strRef>
          </c:tx>
          <c:spPr>
            <a:solidFill>
              <a:schemeClr val="accent2"/>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'7.4'!$B$66:$B$70</c:f>
              <c:strCache>
                <c:ptCount val="5"/>
                <c:pt idx="0">
                  <c:v>North</c:v>
                </c:pt>
                <c:pt idx="1">
                  <c:v>North East</c:v>
                </c:pt>
                <c:pt idx="2">
                  <c:v>East</c:v>
                </c:pt>
                <c:pt idx="3">
                  <c:v>West</c:v>
                </c:pt>
                <c:pt idx="4">
                  <c:v>South</c:v>
                </c:pt>
              </c:strCache>
            </c:strRef>
          </c:cat>
          <c:val>
            <c:numRef>
              <c:f>'7.4'!$D$66:$D$70</c:f>
              <c:numCache>
                <c:formatCode>0.0%</c:formatCode>
                <c:ptCount val="5"/>
                <c:pt idx="0">
                  <c:v>0.26888998299700967</c:v>
                </c:pt>
                <c:pt idx="1">
                  <c:v>2.935388178406248E-2</c:v>
                </c:pt>
                <c:pt idx="2">
                  <c:v>0.15302347457871868</c:v>
                </c:pt>
                <c:pt idx="3">
                  <c:v>0.23040404220995778</c:v>
                </c:pt>
                <c:pt idx="4">
                  <c:v>0.31832861843025123</c:v>
                </c:pt>
              </c:numCache>
            </c:numRef>
          </c:val>
          <c:extLst>
            <c:ext xmlns:c16="http://schemas.microsoft.com/office/drawing/2014/chart" uri="{C3380CC4-5D6E-409C-BE32-E72D297353CC}">
              <c16:uniqueId val="{00000001-3231-4A07-873E-F76140195786}"/>
            </c:ext>
          </c:extLst>
        </c:ser>
        <c:dLbls>
          <c:showLegendKey val="0"/>
          <c:showVal val="0"/>
          <c:showCatName val="0"/>
          <c:showSerName val="0"/>
          <c:showPercent val="0"/>
          <c:showBubbleSize val="0"/>
        </c:dLbls>
        <c:gapWidth val="219"/>
        <c:overlap val="-27"/>
        <c:axId val="619791424"/>
        <c:axId val="284559920"/>
      </c:barChart>
      <c:catAx>
        <c:axId val="61979142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84559920"/>
        <c:crosses val="autoZero"/>
        <c:auto val="1"/>
        <c:lblAlgn val="ctr"/>
        <c:lblOffset val="100"/>
        <c:noMultiLvlLbl val="0"/>
      </c:catAx>
      <c:valAx>
        <c:axId val="284559920"/>
        <c:scaling>
          <c:orientation val="minMax"/>
        </c:scaling>
        <c:delete val="0"/>
        <c:axPos val="l"/>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61979142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1200"/>
            </a:pPr>
            <a:r>
              <a:rPr lang="en-US" sz="1200" b="1" i="0" u="none" strike="noStrike" kern="1200" baseline="0">
                <a:solidFill>
                  <a:sysClr val="windowText" lastClr="000000"/>
                </a:solidFill>
                <a:latin typeface="Book Antiqua" panose="02040602050305030304" pitchFamily="18" charset="0"/>
              </a:rPr>
              <a:t>Figure 7.5.1: Region-wise distribution of LPG distributors as on 1.4.2026</a:t>
            </a:r>
          </a:p>
        </c:rich>
      </c:tx>
      <c:layout>
        <c:manualLayout>
          <c:xMode val="edge"/>
          <c:yMode val="edge"/>
          <c:x val="0.13296230993843536"/>
          <c:y val="0"/>
        </c:manualLayout>
      </c:layout>
      <c:overlay val="0"/>
    </c:title>
    <c:autoTitleDeleted val="0"/>
    <c:plotArea>
      <c:layout>
        <c:manualLayout>
          <c:layoutTarget val="inner"/>
          <c:xMode val="edge"/>
          <c:yMode val="edge"/>
          <c:x val="9.662697025216431E-2"/>
          <c:y val="0.16850968816867817"/>
          <c:w val="0.77055670550062239"/>
          <c:h val="0.74556120334582232"/>
        </c:manualLayout>
      </c:layout>
      <c:pieChart>
        <c:varyColors val="1"/>
        <c:ser>
          <c:idx val="0"/>
          <c:order val="0"/>
          <c:dLbls>
            <c:numFmt formatCode="0.0%" sourceLinked="0"/>
            <c:spPr>
              <a:noFill/>
              <a:ln>
                <a:noFill/>
              </a:ln>
              <a:effectLst/>
            </c:spPr>
            <c:txPr>
              <a:bodyPr/>
              <a:lstStyle/>
              <a:p>
                <a:pPr>
                  <a:defRPr sz="1000"/>
                </a:pPr>
                <a:endParaRPr lang="en-US"/>
              </a:p>
            </c:txPr>
            <c:showLegendKey val="0"/>
            <c:showVal val="0"/>
            <c:showCatName val="1"/>
            <c:showSerName val="0"/>
            <c:showPercent val="1"/>
            <c:showBubbleSize val="0"/>
            <c:showLeaderLines val="0"/>
            <c:extLst>
              <c:ext xmlns:c15="http://schemas.microsoft.com/office/drawing/2012/chart" uri="{CE6537A1-D6FC-4f65-9D91-7224C49458BB}"/>
            </c:extLst>
          </c:dLbls>
          <c:cat>
            <c:strRef>
              <c:f>'7.5'!$M$13:$M$17</c:f>
              <c:strCache>
                <c:ptCount val="5"/>
                <c:pt idx="0">
                  <c:v>North</c:v>
                </c:pt>
                <c:pt idx="1">
                  <c:v>North East</c:v>
                </c:pt>
                <c:pt idx="2">
                  <c:v>East</c:v>
                </c:pt>
                <c:pt idx="3">
                  <c:v>West</c:v>
                </c:pt>
                <c:pt idx="4">
                  <c:v>South</c:v>
                </c:pt>
              </c:strCache>
            </c:strRef>
          </c:cat>
          <c:val>
            <c:numRef>
              <c:f>'7.5'!$N$13:$N$17</c:f>
              <c:numCache>
                <c:formatCode>General</c:formatCode>
                <c:ptCount val="5"/>
                <c:pt idx="0">
                  <c:v>8194</c:v>
                </c:pt>
                <c:pt idx="1">
                  <c:v>1120</c:v>
                </c:pt>
                <c:pt idx="2">
                  <c:v>5211</c:v>
                </c:pt>
                <c:pt idx="3">
                  <c:v>5435</c:v>
                </c:pt>
                <c:pt idx="4">
                  <c:v>5647</c:v>
                </c:pt>
              </c:numCache>
            </c:numRef>
          </c:val>
          <c:extLst>
            <c:ext xmlns:c16="http://schemas.microsoft.com/office/drawing/2014/chart" uri="{C3380CC4-5D6E-409C-BE32-E72D297353CC}">
              <c16:uniqueId val="{00000000-D773-4D76-AAC1-3049BD5D772D}"/>
            </c:ext>
          </c:extLst>
        </c:ser>
        <c:dLbls>
          <c:showLegendKey val="0"/>
          <c:showVal val="0"/>
          <c:showCatName val="1"/>
          <c:showSerName val="0"/>
          <c:showPercent val="1"/>
          <c:showBubbleSize val="0"/>
          <c:showLeaderLines val="0"/>
        </c:dLbls>
        <c:firstSliceAng val="0"/>
      </c:pieChart>
    </c:plotArea>
    <c:plotVisOnly val="1"/>
    <c:dispBlanksAs val="zero"/>
    <c:showDLblsOverMax val="0"/>
  </c:chart>
  <c:spPr>
    <a:solidFill>
      <a:srgbClr val="FCE6C8"/>
    </a:solidFill>
    <a:ln w="28575"/>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lrMapOvr bg1="lt1" tx1="dk1" bg2="lt2" tx2="dk2" accent1="accent1" accent2="accent2" accent3="accent3" accent4="accent4" accent5="accent5" accent6="accent6" hlink="hlink" folHlink="folHlink"/>
  <c:chart>
    <c:title>
      <c:tx>
        <c:rich>
          <a:bodyPr/>
          <a:lstStyle/>
          <a:p>
            <a:pPr>
              <a:defRPr sz="1200"/>
            </a:pPr>
            <a:r>
              <a:rPr lang="en-US" sz="1200" b="1" i="0" u="none" strike="noStrike" kern="1200" baseline="0">
                <a:solidFill>
                  <a:sysClr val="windowText" lastClr="000000"/>
                </a:solidFill>
                <a:latin typeface="Book Antiqua" panose="02040602050305030304" pitchFamily="18" charset="0"/>
              </a:rPr>
              <a:t>Figure 7.5.2: Category wise distribution of distributors as on 1.4.2026</a:t>
            </a:r>
          </a:p>
        </c:rich>
      </c:tx>
      <c:layout>
        <c:manualLayout>
          <c:xMode val="edge"/>
          <c:yMode val="edge"/>
          <c:x val="0.14990255735305402"/>
          <c:y val="2.2375656167979003E-2"/>
        </c:manualLayout>
      </c:layout>
      <c:overlay val="0"/>
    </c:title>
    <c:autoTitleDeleted val="0"/>
    <c:plotArea>
      <c:layout>
        <c:manualLayout>
          <c:layoutTarget val="inner"/>
          <c:xMode val="edge"/>
          <c:yMode val="edge"/>
          <c:x val="7.923205420215429E-2"/>
          <c:y val="0.19381581363338124"/>
          <c:w val="0.72299948175267903"/>
          <c:h val="0.74449662419219897"/>
        </c:manualLayout>
      </c:layout>
      <c:pieChart>
        <c:varyColors val="1"/>
        <c:ser>
          <c:idx val="0"/>
          <c:order val="0"/>
          <c:dLbls>
            <c:numFmt formatCode="0.0%" sourceLinked="0"/>
            <c:spPr>
              <a:noFill/>
              <a:ln>
                <a:noFill/>
              </a:ln>
              <a:effectLst/>
            </c:spPr>
            <c:txPr>
              <a:bodyPr wrap="square" lIns="38100" tIns="19050" rIns="38100" bIns="19050" anchor="ctr">
                <a:spAutoFit/>
              </a:bodyPr>
              <a:lstStyle/>
              <a:p>
                <a:pPr>
                  <a:defRPr sz="1400"/>
                </a:pPr>
                <a:endParaRPr lang="en-US"/>
              </a:p>
            </c:txPr>
            <c:showLegendKey val="0"/>
            <c:showVal val="0"/>
            <c:showCatName val="0"/>
            <c:showSerName val="0"/>
            <c:showPercent val="1"/>
            <c:showBubbleSize val="0"/>
            <c:showLeaderLines val="0"/>
            <c:extLst>
              <c:ext xmlns:c15="http://schemas.microsoft.com/office/drawing/2012/chart" uri="{CE6537A1-D6FC-4f65-9D91-7224C49458BB}"/>
            </c:extLst>
          </c:dLbls>
          <c:cat>
            <c:strRef>
              <c:f>'7.5'!$M$22:$M$25</c:f>
              <c:strCache>
                <c:ptCount val="4"/>
                <c:pt idx="0">
                  <c:v>Sheheri  Vitrak</c:v>
                </c:pt>
                <c:pt idx="1">
                  <c:v>Rurban Vitrak</c:v>
                </c:pt>
                <c:pt idx="2">
                  <c:v>Gramin  Vitrak</c:v>
                </c:pt>
                <c:pt idx="3">
                  <c:v>Durgam Kshetriya Vitrak</c:v>
                </c:pt>
              </c:strCache>
            </c:strRef>
          </c:cat>
          <c:val>
            <c:numRef>
              <c:f>'7.5'!$N$22:$N$25</c:f>
              <c:numCache>
                <c:formatCode>General</c:formatCode>
                <c:ptCount val="4"/>
                <c:pt idx="0">
                  <c:v>7924</c:v>
                </c:pt>
                <c:pt idx="1">
                  <c:v>3789</c:v>
                </c:pt>
                <c:pt idx="2">
                  <c:v>11841</c:v>
                </c:pt>
                <c:pt idx="3">
                  <c:v>2053</c:v>
                </c:pt>
              </c:numCache>
            </c:numRef>
          </c:val>
          <c:extLst>
            <c:ext xmlns:c16="http://schemas.microsoft.com/office/drawing/2014/chart" uri="{C3380CC4-5D6E-409C-BE32-E72D297353CC}">
              <c16:uniqueId val="{00000000-4BC5-47C0-B63F-C4DE354D3AED}"/>
            </c:ext>
          </c:extLst>
        </c:ser>
        <c:ser>
          <c:idx val="1"/>
          <c:order val="1"/>
          <c:dLbls>
            <c:spPr>
              <a:noFill/>
              <a:ln>
                <a:noFill/>
              </a:ln>
              <a:effectLst/>
            </c:spPr>
            <c:showLegendKey val="0"/>
            <c:showVal val="0"/>
            <c:showCatName val="0"/>
            <c:showSerName val="0"/>
            <c:showPercent val="1"/>
            <c:showBubbleSize val="0"/>
            <c:showLeaderLines val="1"/>
            <c:extLst>
              <c:ext xmlns:c15="http://schemas.microsoft.com/office/drawing/2012/chart" uri="{CE6537A1-D6FC-4f65-9D91-7224C49458BB}"/>
            </c:extLst>
          </c:dLbls>
          <c:cat>
            <c:strRef>
              <c:f>'7.5'!$M$22:$M$25</c:f>
              <c:strCache>
                <c:ptCount val="4"/>
                <c:pt idx="0">
                  <c:v>Sheheri  Vitrak</c:v>
                </c:pt>
                <c:pt idx="1">
                  <c:v>Rurban Vitrak</c:v>
                </c:pt>
                <c:pt idx="2">
                  <c:v>Gramin  Vitrak</c:v>
                </c:pt>
                <c:pt idx="3">
                  <c:v>Durgam Kshetriya Vitrak</c:v>
                </c:pt>
              </c:strCache>
            </c:strRef>
          </c:cat>
          <c:val>
            <c:numRef>
              <c:f>'7.5'!$O$22:$O$25</c:f>
              <c:numCache>
                <c:formatCode>0.0%</c:formatCode>
                <c:ptCount val="4"/>
                <c:pt idx="0">
                  <c:v>0.30944663568555475</c:v>
                </c:pt>
                <c:pt idx="1">
                  <c:v>0.1479673526770024</c:v>
                </c:pt>
                <c:pt idx="2">
                  <c:v>0.46241262154879526</c:v>
                </c:pt>
                <c:pt idx="3">
                  <c:v>8.0173390088647642E-2</c:v>
                </c:pt>
              </c:numCache>
            </c:numRef>
          </c:val>
          <c:extLst>
            <c:ext xmlns:c16="http://schemas.microsoft.com/office/drawing/2014/chart" uri="{C3380CC4-5D6E-409C-BE32-E72D297353CC}">
              <c16:uniqueId val="{00000001-4BC5-47C0-B63F-C4DE354D3AED}"/>
            </c:ext>
          </c:extLst>
        </c:ser>
        <c:dLbls>
          <c:showLegendKey val="0"/>
          <c:showVal val="0"/>
          <c:showCatName val="0"/>
          <c:showSerName val="0"/>
          <c:showPercent val="1"/>
          <c:showBubbleSize val="0"/>
          <c:showLeaderLines val="0"/>
        </c:dLbls>
        <c:firstSliceAng val="0"/>
      </c:pieChart>
    </c:plotArea>
    <c:legend>
      <c:legendPos val="r"/>
      <c:layout>
        <c:manualLayout>
          <c:xMode val="edge"/>
          <c:yMode val="edge"/>
          <c:x val="0.73757213781133724"/>
          <c:y val="0.30268364900765143"/>
          <c:w val="0.26242774430010685"/>
          <c:h val="0.51002362204724405"/>
        </c:manualLayout>
      </c:layout>
      <c:overlay val="0"/>
      <c:txPr>
        <a:bodyPr/>
        <a:lstStyle/>
        <a:p>
          <a:pPr>
            <a:defRPr sz="1000"/>
          </a:pPr>
          <a:endParaRPr lang="en-US"/>
        </a:p>
      </c:txPr>
    </c:legend>
    <c:plotVisOnly val="1"/>
    <c:dispBlanksAs val="zero"/>
    <c:showDLblsOverMax val="0"/>
  </c:chart>
  <c:spPr>
    <a:solidFill>
      <a:srgbClr val="D8D9B1"/>
    </a:solidFill>
    <a:ln w="28575"/>
  </c:spPr>
  <c:txPr>
    <a:bodyPr/>
    <a:lstStyle/>
    <a:p>
      <a:pPr>
        <a:defRPr>
          <a:latin typeface="Book Antiqua" panose="02040602050305030304" pitchFamily="18" charset="0"/>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withinLinearReversed" id="21">
  <a:schemeClr val="accent1"/>
</cs:colorStyle>
</file>

<file path=xl/charts/colors22.xml><?xml version="1.0" encoding="utf-8"?>
<cs:colorStyle xmlns:cs="http://schemas.microsoft.com/office/drawing/2012/chartStyle" xmlns:a="http://schemas.openxmlformats.org/drawingml/2006/main" meth="withinLinearReversed" id="21">
  <a:schemeClr val="accent1"/>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2">
  <a:schemeClr val="accent2"/>
  <a:schemeClr val="accent4"/>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25">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b="0" kern="1200" cap="none" spc="0" normalizeH="0" baseline="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75000"/>
        <a:lumOff val="25000"/>
      </a:schemeClr>
    </cs:fontRef>
    <cs:spPr>
      <a:solidFill>
        <a:schemeClr val="dk1">
          <a:lumMod val="15000"/>
          <a:lumOff val="85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3810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8"/>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50000"/>
            <a:lumOff val="50000"/>
          </a:schemeClr>
        </a:solidFill>
      </a:ln>
    </cs:spPr>
  </cs:downBar>
  <cs:dropLine>
    <cs:lnRef idx="0"/>
    <cs:fillRef idx="0"/>
    <cs:effectRef idx="0"/>
    <cs:fontRef idx="minor">
      <a:schemeClr val="dk1"/>
    </cs:fontRef>
    <cs:spPr>
      <a:ln w="9525">
        <a:solidFill>
          <a:schemeClr val="tx1">
            <a:lumMod val="50000"/>
            <a:lumOff val="50000"/>
          </a:schemeClr>
        </a:solidFill>
        <a:prstDash val="dash"/>
      </a:ln>
    </cs:spPr>
  </cs:dropLine>
  <cs:errorBar>
    <cs:lnRef idx="0"/>
    <cs:fillRef idx="0"/>
    <cs:effectRef idx="0"/>
    <cs:fontRef idx="minor">
      <a:schemeClr val="dk1"/>
    </cs:fontRef>
    <cs:spPr>
      <a:ln w="9525">
        <a:solidFill>
          <a:schemeClr val="tx1">
            <a:lumMod val="50000"/>
            <a:lumOff val="50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w="9525" cap="flat" cmpd="sng" algn="ctr">
        <a:solidFill>
          <a:schemeClr val="tx1">
            <a:lumMod val="5000"/>
            <a:lumOff val="95000"/>
          </a:schemeClr>
        </a:solidFill>
        <a:round/>
      </a:ln>
    </cs:spPr>
  </cs:gridlineMinor>
  <cs:hiLoLine>
    <cs:lnRef idx="0"/>
    <cs:fillRef idx="0"/>
    <cs:effectRef idx="0"/>
    <cs:fontRef idx="minor">
      <a:schemeClr val="dk1"/>
    </cs:fontRef>
    <cs:spPr>
      <a:ln w="9525">
        <a:solidFill>
          <a:schemeClr val="tx1">
            <a:lumMod val="50000"/>
            <a:lumOff val="50000"/>
          </a:schemeClr>
        </a:solidFill>
        <a:prstDash val="dash"/>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ajor">
      <a:schemeClr val="tx1">
        <a:lumMod val="65000"/>
        <a:lumOff val="35000"/>
      </a:schemeClr>
    </cs:fontRef>
    <cs:defRPr sz="2000" b="0" kern="1200" cap="none" spc="0" normalizeH="0" baseline="0"/>
  </cs:title>
  <cs:trendline>
    <cs:lnRef idx="0">
      <cs:styleClr val="auto"/>
    </cs:lnRef>
    <cs:fillRef idx="0"/>
    <cs:effectRef idx="0"/>
    <cs:fontRef idx="minor">
      <a:schemeClr val="dk1"/>
    </cs:fontRef>
    <cs:spPr>
      <a:ln w="19050" cap="rnd">
        <a:solidFill>
          <a:schemeClr val="phClr"/>
        </a:solidFill>
        <a:round/>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50000"/>
            <a:lumOff val="50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8.xml><?xml version="1.0" encoding="utf-8"?>
<cs:chartStyle xmlns:cs="http://schemas.microsoft.com/office/drawing/2012/chartStyle" xmlns:a="http://schemas.openxmlformats.org/drawingml/2006/main" id="34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1.xml><?xml version="1.0" encoding="utf-8"?>
<cs:chartStyle xmlns:cs="http://schemas.microsoft.com/office/drawing/2012/chartStyle" xmlns:a="http://schemas.openxmlformats.org/drawingml/2006/main" id="300">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2.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3.xml><?xml version="1.0" encoding="utf-8"?>
<cs:chartStyle xmlns:cs="http://schemas.microsoft.com/office/drawing/2012/chartStyle" xmlns:a="http://schemas.openxmlformats.org/drawingml/2006/main" id="300">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4.xml><?xml version="1.0" encoding="utf-8"?>
<cs:chartStyle xmlns:cs="http://schemas.microsoft.com/office/drawing/2012/chartStyle" xmlns:a="http://schemas.openxmlformats.org/drawingml/2006/main" id="300">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alpha val="85000"/>
          </a:schemeClr>
        </a:solidFill>
        <a:round/>
      </a:ln>
    </cs:spPr>
  </cs:dataPointLine>
  <cs:dataPointMarker>
    <cs:lnRef idx="0"/>
    <cs:fillRef idx="0">
      <cs:styleClr val="auto"/>
    </cs:fillRef>
    <cs:effectRef idx="0"/>
    <cs:fontRef idx="minor">
      <a:schemeClr val="dk1"/>
    </cs:fontRef>
    <cs:spPr>
      <a:solidFill>
        <a:schemeClr val="phClr">
          <a:alpha val="85000"/>
        </a:schemeClr>
      </a:solidFill>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5.xml><?xml version="1.0" encoding="utf-8"?>
<cs:chartStyle xmlns:cs="http://schemas.microsoft.com/office/drawing/2012/chartStyle" xmlns:a="http://schemas.openxmlformats.org/drawingml/2006/main" id="228">
  <cs:axisTitle>
    <cs:lnRef idx="0"/>
    <cs:fillRef idx="0"/>
    <cs:effectRef idx="0"/>
    <cs:fontRef idx="minor">
      <a:schemeClr val="dk1">
        <a:lumMod val="75000"/>
        <a:lumOff val="25000"/>
      </a:schemeClr>
    </cs:fontRef>
    <cs:defRPr sz="900" b="1" kern="1200"/>
  </cs:axisTitle>
  <cs:categoryAxis>
    <cs:lnRef idx="0"/>
    <cs:fillRef idx="0"/>
    <cs:effectRef idx="0"/>
    <cs:fontRef idx="minor">
      <a:schemeClr val="dk1">
        <a:lumMod val="75000"/>
        <a:lumOff val="25000"/>
      </a:schemeClr>
    </cs:fontRef>
    <cs:spPr>
      <a:ln w="19050" cap="flat" cmpd="sng" algn="ctr">
        <a:solidFill>
          <a:schemeClr val="dk1">
            <a:lumMod val="75000"/>
            <a:lumOff val="25000"/>
          </a:schemeClr>
        </a:solidFill>
        <a:round/>
      </a:ln>
    </cs:spPr>
    <cs:defRPr sz="900" kern="1200" cap="all" baseline="0"/>
  </cs:categoryAxis>
  <cs:chartArea>
    <cs:lnRef idx="0"/>
    <cs:fillRef idx="0"/>
    <cs:effectRef idx="0"/>
    <cs:fontRef idx="minor">
      <a:schemeClr val="dk1"/>
    </cs:fontRef>
    <cs:spPr>
      <a:gradFill flip="none" rotWithShape="1">
        <a:gsLst>
          <a:gs pos="0">
            <a:schemeClr val="lt1"/>
          </a:gs>
          <a:gs pos="39000">
            <a:schemeClr val="lt1"/>
          </a:gs>
          <a:gs pos="100000">
            <a:schemeClr val="lt1">
              <a:lumMod val="75000"/>
            </a:schemeClr>
          </a:gs>
        </a:gsLst>
        <a:path path="circle">
          <a:fillToRect l="50000" t="-80000" r="50000" b="180000"/>
        </a:path>
        <a:tileRect/>
      </a:gradFill>
      <a:ln w="9525" cap="flat" cmpd="sng" algn="ctr">
        <a:solidFill>
          <a:schemeClr val="dk1">
            <a:lumMod val="25000"/>
            <a:lumOff val="75000"/>
          </a:schemeClr>
        </a:solidFill>
        <a:round/>
      </a:ln>
    </cs:spPr>
    <cs:defRPr sz="900" kern="1200"/>
  </cs:chartArea>
  <cs:dataLabel>
    <cs:lnRef idx="0"/>
    <cs:fillRef idx="0">
      <cs:styleClr val="auto"/>
    </cs:fillRef>
    <cs:effectRef idx="0"/>
    <cs:fontRef idx="minor">
      <a:schemeClr val="lt1"/>
    </cs:fontRef>
    <cs:defRPr sz="900" b="1" i="0" u="none" strike="noStrike" kern="1200" baseline="0"/>
  </cs:dataLabel>
  <cs:dataLabelCallout>
    <cs:lnRef idx="0"/>
    <cs:fillRef idx="0"/>
    <cs:effectRef idx="0"/>
    <cs:fontRef idx="minor">
      <a:schemeClr val="lt1"/>
    </cs:fontRef>
    <cs:spPr>
      <a:solidFill>
        <a:schemeClr val="dk1">
          <a:lumMod val="65000"/>
          <a:lumOff val="35000"/>
          <a:alpha val="75000"/>
        </a:schemeClr>
      </a:solidFill>
    </cs:spPr>
    <cs:defRPr sz="9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
  <cs:dataPoint3D>
    <cs:lnRef idx="0"/>
    <cs:fillRef idx="0">
      <cs:styleClr val="auto"/>
    </cs:fillRef>
    <cs:effectRef idx="0"/>
    <cs:fontRef idx="minor">
      <a:schemeClr val="dk1"/>
    </cs:fontRef>
    <cs:spPr>
      <a:solidFill>
        <a:schemeClr val="phClr">
          <a:alpha val="85000"/>
        </a:schemeClr>
      </a:solidFill>
      <a:ln w="9525" cap="flat" cmpd="sng" algn="ctr">
        <a:solidFill>
          <a:schemeClr val="lt1">
            <a:alpha val="50000"/>
          </a:schemeClr>
        </a:solidFill>
        <a:round/>
      </a:ln>
    </cs:spPr>
  </cs:dataPoint3D>
  <cs:dataPointLine>
    <cs:lnRef idx="0">
      <cs:styleClr val="auto"/>
    </cs:lnRef>
    <cs:fillRef idx="0"/>
    <cs:effectRef idx="0"/>
    <cs:fontRef idx="minor">
      <a:schemeClr val="dk1"/>
    </cs:fontRef>
    <cs:spPr>
      <a:ln w="31750" cap="rnd">
        <a:solidFill>
          <a:schemeClr val="phClr"/>
        </a:solidFill>
        <a:round/>
      </a:ln>
    </cs:spPr>
  </cs:dataPointLine>
  <cs:dataPointMarker>
    <cs:lnRef idx="0"/>
    <cs:fillRef idx="0">
      <cs:styleClr val="auto"/>
    </cs:fillRef>
    <cs:effectRef idx="0"/>
    <cs:fontRef idx="minor">
      <a:schemeClr val="dk1"/>
    </cs:fontRef>
    <cs:spPr>
      <a:solidFill>
        <a:schemeClr val="phClr"/>
      </a:solidFill>
    </cs:spPr>
  </cs:dataPointMarker>
  <cs:dataPointMarkerLayout symbol="circle" size="17"/>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dk1">
        <a:lumMod val="75000"/>
        <a:lumOff val="25000"/>
      </a:schemeClr>
    </cs:fontRef>
    <cs:spPr>
      <a:ln w="9525">
        <a:solidFill>
          <a:schemeClr val="dk1">
            <a:lumMod val="35000"/>
            <a:lumOff val="65000"/>
          </a:schemeClr>
        </a:solidFill>
      </a:ln>
    </cs:spPr>
    <cs:defRPr sz="900" kern="1200"/>
  </cs:dataTable>
  <cs:downBar>
    <cs:lnRef idx="0"/>
    <cs:fillRef idx="0"/>
    <cs:effectRef idx="0"/>
    <cs:fontRef idx="minor">
      <a:schemeClr val="dk1"/>
    </cs:fontRef>
    <cs:spPr>
      <a:solidFill>
        <a:schemeClr val="dk1">
          <a:lumMod val="50000"/>
          <a:lumOff val="50000"/>
        </a:schemeClr>
      </a:solidFill>
      <a:ln w="9525">
        <a:solidFill>
          <a:schemeClr val="dk1">
            <a:lumMod val="65000"/>
            <a:lumOff val="35000"/>
          </a:schemeClr>
        </a:solidFill>
      </a:ln>
    </cs:spPr>
  </cs:downBar>
  <cs:dropLine>
    <cs:lnRef idx="0"/>
    <cs:fillRef idx="0"/>
    <cs:effectRef idx="0"/>
    <cs:fontRef idx="minor">
      <a:schemeClr val="dk1"/>
    </cs:fontRef>
    <cs:spPr>
      <a:ln w="9525">
        <a:solidFill>
          <a:schemeClr val="dk1">
            <a:lumMod val="35000"/>
            <a:lumOff val="65000"/>
          </a:schemeClr>
        </a:solidFill>
        <a:prstDash val="dash"/>
      </a:ln>
    </cs:spPr>
  </cs:dropLine>
  <cs:errorBar>
    <cs:lnRef idx="0"/>
    <cs:fillRef idx="0"/>
    <cs:effectRef idx="0"/>
    <cs:fontRef idx="minor">
      <a:schemeClr val="dk1"/>
    </cs:fontRef>
    <cs:spPr>
      <a:ln w="9525">
        <a:solidFill>
          <a:schemeClr val="dk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100000">
              <a:schemeClr val="dk1">
                <a:lumMod val="95000"/>
                <a:lumOff val="5000"/>
                <a:alpha val="42000"/>
              </a:schemeClr>
            </a:gs>
            <a:gs pos="0">
              <a:schemeClr val="lt1">
                <a:lumMod val="75000"/>
                <a:alpha val="36000"/>
              </a:schemeClr>
            </a:gs>
          </a:gsLst>
          <a:lin ang="5400000" scaled="0"/>
        </a:gradFill>
        <a:round/>
      </a:ln>
    </cs:spPr>
  </cs:gridlineMajor>
  <cs:gridlineMinor>
    <cs:lnRef idx="0"/>
    <cs:fillRef idx="0"/>
    <cs:effectRef idx="0"/>
    <cs:fontRef idx="minor">
      <a:schemeClr val="dk1"/>
    </cs:fontRef>
    <cs:spPr>
      <a:ln>
        <a:gradFill>
          <a:gsLst>
            <a:gs pos="100000">
              <a:schemeClr val="dk1">
                <a:lumMod val="95000"/>
                <a:lumOff val="5000"/>
                <a:alpha val="42000"/>
              </a:schemeClr>
            </a:gs>
            <a:gs pos="0">
              <a:schemeClr val="lt1">
                <a:lumMod val="75000"/>
                <a:alpha val="36000"/>
              </a:schemeClr>
            </a:gs>
          </a:gsLst>
          <a:lin ang="5400000" scaled="0"/>
        </a:gradFill>
      </a:ln>
    </cs:spPr>
  </cs:gridlineMinor>
  <cs:hiLoLine>
    <cs:lnRef idx="0"/>
    <cs:fillRef idx="0"/>
    <cs:effectRef idx="0"/>
    <cs:fontRef idx="minor">
      <a:schemeClr val="dk1"/>
    </cs:fontRef>
    <cs:spPr>
      <a:ln w="9525">
        <a:solidFill>
          <a:schemeClr val="dk1">
            <a:lumMod val="35000"/>
            <a:lumOff val="65000"/>
          </a:schemeClr>
        </a:solidFill>
        <a:prstDash val="dash"/>
      </a:ln>
    </cs:spPr>
  </cs:hiLoLine>
  <cs:leaderLine>
    <cs:lnRef idx="0"/>
    <cs:fillRef idx="0"/>
    <cs:effectRef idx="0"/>
    <cs:fontRef idx="minor">
      <a:schemeClr val="dk1"/>
    </cs:fontRef>
    <cs:spPr>
      <a:ln w="9525">
        <a:solidFill>
          <a:schemeClr val="dk1">
            <a:lumMod val="50000"/>
            <a:lumOff val="50000"/>
          </a:schemeClr>
        </a:solidFill>
      </a:ln>
    </cs:spPr>
  </cs:leaderLine>
  <cs:legend>
    <cs:lnRef idx="0"/>
    <cs:fillRef idx="0"/>
    <cs:effectRef idx="0"/>
    <cs:fontRef idx="minor">
      <a:schemeClr val="dk1">
        <a:lumMod val="75000"/>
        <a:lumOff val="25000"/>
      </a:schemeClr>
    </cs:fontRef>
    <cs:spPr>
      <a:solidFill>
        <a:schemeClr val="lt1">
          <a:lumMod val="95000"/>
          <a:alpha val="39000"/>
        </a:schemeClr>
      </a:solidFill>
    </cs:spPr>
    <cs:defRPr sz="900" kern="1200"/>
  </cs:legend>
  <cs:plotArea>
    <cs:lnRef idx="0"/>
    <cs:fillRef idx="0"/>
    <cs:effectRef idx="0"/>
    <cs:fontRef idx="minor">
      <a:schemeClr val="dk1"/>
    </cs:fontRef>
  </cs:plotArea>
  <cs:plotArea3D>
    <cs:lnRef idx="0"/>
    <cs:fillRef idx="0"/>
    <cs:effectRef idx="0"/>
    <cs:fontRef idx="minor">
      <a:schemeClr val="dk1"/>
    </cs:fontRef>
  </cs:plotArea3D>
  <cs:seriesAxis>
    <cs:lnRef idx="0"/>
    <cs:fillRef idx="0"/>
    <cs:effectRef idx="0"/>
    <cs:fontRef idx="minor">
      <a:schemeClr val="dk1">
        <a:lumMod val="75000"/>
        <a:lumOff val="25000"/>
      </a:schemeClr>
    </cs:fontRef>
    <cs:spPr>
      <a:ln w="31750" cap="flat" cmpd="sng" algn="ctr">
        <a:solidFill>
          <a:schemeClr val="dk1">
            <a:lumMod val="75000"/>
            <a:lumOff val="25000"/>
          </a:schemeClr>
        </a:solidFill>
        <a:round/>
      </a:ln>
    </cs:spPr>
    <cs:defRPr sz="900" kern="1200"/>
  </cs:seriesAxis>
  <cs:seriesLine>
    <cs:lnRef idx="0"/>
    <cs:fillRef idx="0"/>
    <cs:effectRef idx="0"/>
    <cs:fontRef idx="minor">
      <a:schemeClr val="dk1"/>
    </cs:fontRef>
    <cs:spPr>
      <a:ln w="9525">
        <a:solidFill>
          <a:schemeClr val="dk1">
            <a:lumMod val="50000"/>
            <a:lumOff val="50000"/>
          </a:schemeClr>
        </a:solidFill>
        <a:round/>
      </a:ln>
    </cs:spPr>
  </cs:seriesLine>
  <cs:title>
    <cs:lnRef idx="0"/>
    <cs:fillRef idx="0"/>
    <cs:effectRef idx="0"/>
    <cs:fontRef idx="minor">
      <a:schemeClr val="dk1">
        <a:lumMod val="75000"/>
        <a:lumOff val="25000"/>
      </a:schemeClr>
    </cs:fontRef>
    <cs:defRPr sz="1800" b="1" kern="1200" baseline="0"/>
  </cs:title>
  <cs:trendline>
    <cs:lnRef idx="0">
      <cs:styleClr val="auto"/>
    </cs:lnRef>
    <cs:fillRef idx="0"/>
    <cs:effectRef idx="0"/>
    <cs:fontRef idx="minor">
      <a:schemeClr val="dk1"/>
    </cs:fontRef>
    <cs:spPr>
      <a:ln w="19050" cap="rnd">
        <a:solidFill>
          <a:schemeClr val="phClr"/>
        </a:solidFill>
      </a:ln>
    </cs:spPr>
  </cs:trendline>
  <cs:trendlineLabel>
    <cs:lnRef idx="0"/>
    <cs:fillRef idx="0"/>
    <cs:effectRef idx="0"/>
    <cs:fontRef idx="minor">
      <a:schemeClr val="dk1">
        <a:lumMod val="75000"/>
        <a:lumOff val="25000"/>
      </a:schemeClr>
    </cs:fontRef>
    <cs:defRPr sz="900" kern="1200"/>
  </cs:trendlineLabel>
  <cs:upBar>
    <cs:lnRef idx="0"/>
    <cs:fillRef idx="0"/>
    <cs:effectRef idx="0"/>
    <cs:fontRef idx="minor">
      <a:schemeClr val="dk1"/>
    </cs:fontRef>
    <cs:spPr>
      <a:solidFill>
        <a:schemeClr val="lt1"/>
      </a:solidFill>
      <a:ln w="9525">
        <a:solidFill>
          <a:schemeClr val="dk1">
            <a:lumMod val="65000"/>
            <a:lumOff val="35000"/>
          </a:schemeClr>
        </a:solidFill>
      </a:ln>
    </cs:spPr>
  </cs:upBar>
  <cs:valueAxis>
    <cs:lnRef idx="0"/>
    <cs:fillRef idx="0"/>
    <cs:effectRef idx="0"/>
    <cs:fontRef idx="minor">
      <a:schemeClr val="dk1">
        <a:lumMod val="75000"/>
        <a:lumOff val="25000"/>
      </a:schemeClr>
    </cs:fontRef>
    <cs:spPr>
      <a:ln>
        <a:noFill/>
      </a:ln>
    </cs:spPr>
    <cs:defRPr sz="900" kern="1200"/>
  </cs:valueAxis>
  <cs:wall>
    <cs:lnRef idx="0"/>
    <cs:fillRef idx="0"/>
    <cs:effectRef idx="0"/>
    <cs:fontRef idx="minor">
      <a:schemeClr val="dk1"/>
    </cs:fontRef>
  </cs:wall>
</cs:chartStyle>
</file>

<file path=xl/charts/style1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32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gradFill>
        <a:gsLst>
          <a:gs pos="100000">
            <a:schemeClr val="dk1">
              <a:lumMod val="95000"/>
              <a:lumOff val="5000"/>
            </a:schemeClr>
          </a:gs>
          <a:gs pos="0">
            <a:schemeClr val="dk1">
              <a:lumMod val="75000"/>
              <a:lumOff val="25000"/>
            </a:schemeClr>
          </a:gs>
        </a:gsLst>
        <a:path path="circle">
          <a:fillToRect l="50000" t="50000" r="50000" b="50000"/>
        </a:path>
      </a:gradFill>
      <a:ln w="9525">
        <a:solidFill>
          <a:schemeClr val="dk1">
            <a:lumMod val="75000"/>
            <a:lumOff val="25000"/>
          </a:schemeClr>
        </a:solidFill>
      </a:ln>
    </cs:spPr>
  </cs:downBar>
  <cs:dropLine>
    <cs:lnRef idx="0"/>
    <cs:fillRef idx="0"/>
    <cs:effectRef idx="0"/>
    <cs:fontRef idx="minor">
      <a:schemeClr val="tx1"/>
    </cs:fontRef>
    <cs:spPr>
      <a:ln w="9525" cap="flat" cmpd="sng" algn="ctr">
        <a:solidFill>
          <a:schemeClr val="lt1"/>
        </a:solidFill>
        <a:round/>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cap="flat" cmpd="sng" algn="ctr">
        <a:solidFill>
          <a:schemeClr val="lt1"/>
        </a:solidFill>
        <a:round/>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gradFill>
        <a:gsLst>
          <a:gs pos="100000">
            <a:schemeClr val="lt1">
              <a:lumMod val="85000"/>
            </a:schemeClr>
          </a:gs>
          <a:gs pos="0">
            <a:schemeClr val="lt1"/>
          </a:gs>
        </a:gsLst>
        <a:path path="circle">
          <a:fillToRect l="50000" t="50000" r="50000" b="50000"/>
        </a:path>
      </a:gradFill>
      <a:ln w="9525" cap="flat" cmpd="sng" algn="ctr">
        <a:solidFill>
          <a:schemeClr val="lt1"/>
        </a:solidFill>
        <a:round/>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2.xml><?xml version="1.0" encoding="utf-8"?>
<cs:chartStyle xmlns:cs="http://schemas.microsoft.com/office/drawing/2012/chartStyle" xmlns:a="http://schemas.openxmlformats.org/drawingml/2006/main" id="32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gradFill>
        <a:gsLst>
          <a:gs pos="100000">
            <a:schemeClr val="dk1">
              <a:lumMod val="95000"/>
              <a:lumOff val="5000"/>
            </a:schemeClr>
          </a:gs>
          <a:gs pos="0">
            <a:schemeClr val="dk1">
              <a:lumMod val="75000"/>
              <a:lumOff val="25000"/>
            </a:schemeClr>
          </a:gs>
        </a:gsLst>
        <a:path path="circle">
          <a:fillToRect l="50000" t="50000" r="50000" b="50000"/>
        </a:path>
      </a:gradFill>
      <a:ln w="9525">
        <a:solidFill>
          <a:schemeClr val="dk1">
            <a:lumMod val="75000"/>
            <a:lumOff val="25000"/>
          </a:schemeClr>
        </a:solidFill>
      </a:ln>
    </cs:spPr>
  </cs:downBar>
  <cs:dropLine>
    <cs:lnRef idx="0"/>
    <cs:fillRef idx="0"/>
    <cs:effectRef idx="0"/>
    <cs:fontRef idx="minor">
      <a:schemeClr val="tx1"/>
    </cs:fontRef>
    <cs:spPr>
      <a:ln w="9525" cap="flat" cmpd="sng" algn="ctr">
        <a:solidFill>
          <a:schemeClr val="lt1"/>
        </a:solidFill>
        <a:round/>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cap="flat" cmpd="sng" algn="ctr">
        <a:solidFill>
          <a:schemeClr val="lt1"/>
        </a:solidFill>
        <a:round/>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gradFill>
        <a:gsLst>
          <a:gs pos="100000">
            <a:schemeClr val="lt1">
              <a:lumMod val="85000"/>
            </a:schemeClr>
          </a:gs>
          <a:gs pos="0">
            <a:schemeClr val="lt1"/>
          </a:gs>
        </a:gsLst>
        <a:path path="circle">
          <a:fillToRect l="50000" t="50000" r="50000" b="50000"/>
        </a:path>
      </a:gradFill>
      <a:ln w="9525" cap="flat" cmpd="sng" algn="ctr">
        <a:solidFill>
          <a:schemeClr val="lt1"/>
        </a:solidFill>
        <a:round/>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23.xml><?xml version="1.0" encoding="utf-8"?>
<cs:chartStyle xmlns:cs="http://schemas.microsoft.com/office/drawing/2012/chartStyle" xmlns:a="http://schemas.openxmlformats.org/drawingml/2006/main" id="347">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24.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2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68">
  <cs:axisTitle>
    <cs:lnRef idx="0"/>
    <cs:fillRef idx="0"/>
    <cs:effectRef idx="0"/>
    <cs:fontRef idx="minor">
      <a:schemeClr val="lt1">
        <a:lumMod val="85000"/>
      </a:schemeClr>
    </cs:fontRef>
    <cs:defRPr sz="900" b="1" kern="1200" cap="all"/>
  </cs:axisTitle>
  <cs:category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categoryAxis>
  <cs:chartArea>
    <cs:lnRef idx="0"/>
    <cs:fillRef idx="0"/>
    <cs:effectRef idx="0"/>
    <cs:fontRef idx="minor">
      <a:schemeClr val="dk1"/>
    </cs:fontRef>
    <cs:spPr>
      <a:gradFill flip="none" rotWithShape="1">
        <a:gsLst>
          <a:gs pos="0">
            <a:schemeClr val="dk1">
              <a:lumMod val="65000"/>
              <a:lumOff val="35000"/>
            </a:schemeClr>
          </a:gs>
          <a:gs pos="100000">
            <a:schemeClr val="dk1">
              <a:lumMod val="85000"/>
              <a:lumOff val="15000"/>
            </a:schemeClr>
          </a:gs>
        </a:gsLst>
        <a:path path="circle">
          <a:fillToRect l="50000" t="50000" r="50000" b="50000"/>
        </a:path>
        <a:tileRect/>
      </a:gradFill>
    </cs:spPr>
    <cs:defRPr sz="1000" kern="1200"/>
  </cs:chartArea>
  <cs:dataLabel>
    <cs:lnRef idx="0"/>
    <cs:fillRef idx="0"/>
    <cs:effectRef idx="0"/>
    <cs:fontRef idx="minor">
      <a:schemeClr val="lt1">
        <a:lumMod val="85000"/>
      </a:schemeClr>
    </cs:fontRef>
    <cs:defRPr sz="900" kern="1200"/>
  </cs:dataLabel>
  <cs:dataLabelCallout>
    <cs:lnRef idx="0"/>
    <cs:fillRef idx="0"/>
    <cs:effectRef idx="0"/>
    <cs:fontRef idx="minor">
      <a:schemeClr val="dk1">
        <a:lumMod val="65000"/>
        <a:lumOff val="35000"/>
      </a:schemeClr>
    </cs:fontRef>
    <cs:spPr>
      <a:solidFill>
        <a:schemeClr val="lt1"/>
      </a:solidFill>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lt1">
        <a:lumMod val="85000"/>
      </a:schemeClr>
    </cs:fontRef>
    <cs:spPr>
      <a:ln w="9525">
        <a:solidFill>
          <a:schemeClr val="lt1">
            <a:lumMod val="95000"/>
            <a:alpha val="54000"/>
          </a:schemeClr>
        </a:solidFill>
      </a:ln>
    </cs:spPr>
    <cs:defRPr sz="900" kern="1200"/>
  </cs:dataTable>
  <cs:downBar>
    <cs:lnRef idx="0"/>
    <cs:fillRef idx="0"/>
    <cs:effectRef idx="0"/>
    <cs:fontRef idx="minor">
      <a:schemeClr val="tx1"/>
    </cs:fontRef>
    <cs:spPr>
      <a:solidFill>
        <a:schemeClr val="dk1">
          <a:lumMod val="75000"/>
          <a:lumOff val="25000"/>
        </a:schemeClr>
      </a:solidFill>
      <a:ln w="9525">
        <a:solidFill>
          <a:schemeClr val="lt1">
            <a:lumMod val="95000"/>
            <a:alpha val="54000"/>
          </a:schemeClr>
        </a:solidFill>
      </a:ln>
    </cs:spPr>
  </cs:downBar>
  <cs:dropLine>
    <cs:lnRef idx="0"/>
    <cs:fillRef idx="0"/>
    <cs:effectRef idx="0"/>
    <cs:fontRef idx="minor">
      <a:schemeClr val="tx1"/>
    </cs:fontRef>
    <cs:spPr>
      <a:ln w="9525">
        <a:solidFill>
          <a:schemeClr val="lt1">
            <a:lumMod val="95000"/>
            <a:alpha val="54000"/>
          </a:schemeClr>
        </a:solidFill>
        <a:prstDash val="dash"/>
      </a:ln>
    </cs:spPr>
  </cs:dropLine>
  <cs:errorBar>
    <cs:lnRef idx="0"/>
    <cs:fillRef idx="0"/>
    <cs:effectRef idx="0"/>
    <cs:fontRef idx="minor">
      <a:schemeClr val="tx1"/>
    </cs:fontRef>
    <cs:spPr>
      <a:ln w="9525" cap="flat" cmpd="sng" algn="ctr">
        <a:solidFill>
          <a:schemeClr val="lt1">
            <a:lumMod val="95000"/>
          </a:schemeClr>
        </a:solidFill>
        <a:round/>
      </a:ln>
    </cs:spPr>
  </cs:errorBar>
  <cs:floor>
    <cs:lnRef idx="0"/>
    <cs:fillRef idx="0"/>
    <cs:effectRef idx="0"/>
    <cs:fontRef idx="minor">
      <a:schemeClr val="tx1"/>
    </cs:fontRef>
  </cs:floor>
  <cs:gridlineMajor>
    <cs:lnRef idx="0"/>
    <cs:fillRef idx="0"/>
    <cs:effectRef idx="0"/>
    <cs:fontRef idx="minor">
      <a:schemeClr val="tx1"/>
    </cs:fontRef>
    <cs:spPr>
      <a:ln w="9525" cap="flat" cmpd="sng" algn="ctr">
        <a:solidFill>
          <a:schemeClr val="lt1">
            <a:lumMod val="95000"/>
            <a:alpha val="10000"/>
          </a:schemeClr>
        </a:solidFill>
        <a:round/>
      </a:ln>
    </cs:spPr>
  </cs:gridlineMajor>
  <cs:gridlineMinor>
    <cs:lnRef idx="0"/>
    <cs:fillRef idx="0"/>
    <cs:effectRef idx="0"/>
    <cs:fontRef idx="minor">
      <a:schemeClr val="tx1"/>
    </cs:fontRef>
    <cs:spPr>
      <a:ln>
        <a:solidFill>
          <a:schemeClr val="lt1">
            <a:lumMod val="95000"/>
            <a:alpha val="5000"/>
          </a:schemeClr>
        </a:solidFill>
      </a:ln>
    </cs:spPr>
  </cs:gridlineMinor>
  <cs:hiLoLine>
    <cs:lnRef idx="0"/>
    <cs:fillRef idx="0"/>
    <cs:effectRef idx="0"/>
    <cs:fontRef idx="minor">
      <a:schemeClr val="tx1"/>
    </cs:fontRef>
    <cs:spPr>
      <a:ln w="9525">
        <a:solidFill>
          <a:schemeClr val="lt1">
            <a:lumMod val="95000"/>
            <a:alpha val="54000"/>
          </a:schemeClr>
        </a:solidFill>
        <a:prstDash val="dash"/>
      </a:ln>
    </cs:spPr>
  </cs:hiLoLine>
  <cs:leaderLine>
    <cs:lnRef idx="0"/>
    <cs:fillRef idx="0"/>
    <cs:effectRef idx="0"/>
    <cs:fontRef idx="minor">
      <a:schemeClr val="tx1"/>
    </cs:fontRef>
    <cs:spPr>
      <a:ln w="9525">
        <a:solidFill>
          <a:schemeClr val="lt1">
            <a:lumMod val="95000"/>
            <a:alpha val="54000"/>
          </a:schemeClr>
        </a:solidFill>
      </a:ln>
    </cs:spPr>
  </cs:leaderLine>
  <cs:legend>
    <cs:lnRef idx="0"/>
    <cs:fillRef idx="0"/>
    <cs:effectRef idx="0"/>
    <cs:fontRef idx="minor">
      <a:schemeClr val="lt1">
        <a:lumMod val="85000"/>
      </a:schemeClr>
    </cs:fontRef>
    <cs:defRPr sz="900" kern="1200"/>
  </cs:legend>
  <cs:plotArea>
    <cs:lnRef idx="0"/>
    <cs:fillRef idx="0"/>
    <cs:effectRef idx="0"/>
    <cs:fontRef idx="minor">
      <a:schemeClr val="tx1"/>
    </cs:fontRef>
  </cs:plotArea>
  <cs:plotArea3D>
    <cs:lnRef idx="0"/>
    <cs:fillRef idx="0"/>
    <cs:effectRef idx="0"/>
    <cs:fontRef idx="minor">
      <a:schemeClr val="tx1"/>
    </cs:fontRef>
  </cs:plotArea3D>
  <cs:seriesAxis>
    <cs:lnRef idx="0"/>
    <cs:fillRef idx="0"/>
    <cs:effectRef idx="0"/>
    <cs:fontRef idx="minor">
      <a:schemeClr val="lt1">
        <a:lumMod val="85000"/>
      </a:schemeClr>
    </cs:fontRef>
    <cs:spPr>
      <a:ln w="12700" cap="flat" cmpd="sng" algn="ctr">
        <a:solidFill>
          <a:schemeClr val="lt1">
            <a:lumMod val="95000"/>
            <a:alpha val="54000"/>
          </a:schemeClr>
        </a:solidFill>
        <a:round/>
      </a:ln>
    </cs:spPr>
    <cs:defRPr sz="900" kern="1200"/>
  </cs:seriesAxis>
  <cs:seriesLine>
    <cs:lnRef idx="0"/>
    <cs:fillRef idx="0"/>
    <cs:effectRef idx="0"/>
    <cs:fontRef idx="minor">
      <a:schemeClr val="lt1"/>
    </cs:fontRef>
    <cs:spPr>
      <a:ln w="9525" cap="flat" cmpd="sng" algn="ctr">
        <a:solidFill>
          <a:schemeClr val="lt1">
            <a:lumMod val="95000"/>
            <a:alpha val="54000"/>
          </a:schemeClr>
        </a:solidFill>
        <a:round/>
      </a:ln>
    </cs:spPr>
  </cs:seriesLine>
  <cs:title>
    <cs:lnRef idx="0"/>
    <cs:fillRef idx="0"/>
    <cs:effectRef idx="0"/>
    <cs:fontRef idx="minor">
      <a:schemeClr val="lt1">
        <a:lumMod val="95000"/>
      </a:schemeClr>
    </cs:fontRef>
    <cs:defRPr sz="1600" b="1" kern="1200" spc="100" baseline="0">
      <a:effectLst>
        <a:outerShdw blurRad="50800" dist="38100" dir="5400000" algn="t" rotWithShape="0">
          <a:prstClr val="black">
            <a:alpha val="40000"/>
          </a:prstClr>
        </a:outerShdw>
      </a:effectLst>
    </cs:defRPr>
  </cs:title>
  <cs:trendline>
    <cs:lnRef idx="0">
      <cs:styleClr val="auto"/>
    </cs:lnRef>
    <cs:fillRef idx="0"/>
    <cs:effectRef idx="0"/>
    <cs:fontRef idx="minor">
      <a:schemeClr val="tx1"/>
    </cs:fontRef>
    <cs:spPr>
      <a:ln w="19050" cap="rnd">
        <a:solidFill>
          <a:schemeClr val="phClr"/>
        </a:solidFill>
      </a:ln>
    </cs:spPr>
  </cs:trendline>
  <cs:trendlineLabel>
    <cs:lnRef idx="0"/>
    <cs:fillRef idx="0"/>
    <cs:effectRef idx="0"/>
    <cs:fontRef idx="minor">
      <a:schemeClr val="lt1">
        <a:lumMod val="85000"/>
      </a:schemeClr>
    </cs:fontRef>
    <cs:defRPr sz="900" kern="1200"/>
  </cs:trendlineLabel>
  <cs:upBar>
    <cs:lnRef idx="0"/>
    <cs:fillRef idx="0"/>
    <cs:effectRef idx="0"/>
    <cs:fontRef idx="minor">
      <a:schemeClr val="tx1"/>
    </cs:fontRef>
    <cs:spPr>
      <a:solidFill>
        <a:schemeClr val="lt1"/>
      </a:solidFill>
      <a:ln w="9525">
        <a:solidFill>
          <a:schemeClr val="lt1">
            <a:lumMod val="95000"/>
            <a:alpha val="54000"/>
          </a:schemeClr>
        </a:solidFill>
      </a:ln>
    </cs:spPr>
  </cs:upBar>
  <cs:valueAxis>
    <cs:lnRef idx="0"/>
    <cs:fillRef idx="0"/>
    <cs:effectRef idx="0"/>
    <cs:fontRef idx="minor">
      <a:schemeClr val="lt1">
        <a:lumMod val="85000"/>
      </a:schemeClr>
    </cs:fontRef>
    <cs:defRPr sz="900" kern="1200"/>
  </cs:valueAxis>
  <cs:wall>
    <cs:lnRef idx="0"/>
    <cs:fillRef idx="0"/>
    <cs:effectRef idx="0"/>
    <cs:fontRef idx="minor">
      <a:schemeClr val="tx1"/>
    </cs:fontRef>
  </cs:wall>
</cs:chartStyle>
</file>

<file path=xl/charts/style53.xml><?xml version="1.0" encoding="utf-8"?>
<cs:chartStyle xmlns:cs="http://schemas.microsoft.com/office/drawing/2012/chartStyle" xmlns:a="http://schemas.openxmlformats.org/drawingml/2006/main" id="25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1"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scene3d>
        <a:camera prst="orthographicFront"/>
        <a:lightRig rig="brightRoom" dir="t"/>
      </a:scene3d>
      <a:sp3d prstMaterial="flat">
        <a:bevelT w="50800" h="101600" prst="angle"/>
        <a:contourClr>
          <a:srgbClr val="000000"/>
        </a:contourClr>
      </a:sp3d>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1" i="0" kern="1200" cap="all" spc="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5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1"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scene3d>
        <a:camera prst="orthographicFront"/>
        <a:lightRig rig="brightRoom" dir="t"/>
      </a:scene3d>
      <a:sp3d prstMaterial="flat">
        <a:bevelT w="50800" h="101600" prst="angle"/>
        <a:contourClr>
          <a:srgbClr val="000000"/>
        </a:contourClr>
      </a:sp3d>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1" i="0" kern="1200" cap="all" spc="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5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1"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scene3d>
        <a:camera prst="orthographicFront"/>
        <a:lightRig rig="brightRoom" dir="t"/>
      </a:scene3d>
      <a:sp3d prstMaterial="flat">
        <a:bevelT w="50800" h="101600" prst="angle"/>
        <a:contourClr>
          <a:srgbClr val="000000"/>
        </a:contourClr>
      </a:sp3d>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1" i="0" kern="1200" cap="all" spc="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07">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tx2">
            <a:lumMod val="60000"/>
            <a:lumOff val="40000"/>
          </a:schemeClr>
        </a:solidFill>
        <a:prstDash val="dash"/>
      </a:ln>
    </cs:spPr>
  </cs:dropLine>
  <cs:errorBar>
    <cs:lnRef idx="0"/>
    <cs:fillRef idx="0"/>
    <cs:effectRef idx="0"/>
    <cs:fontRef idx="minor">
      <a:schemeClr val="tx2"/>
    </cs:fontRef>
    <cs:spPr>
      <a:ln w="9525">
        <a:solidFill>
          <a:schemeClr val="tx2">
            <a:lumMod val="75000"/>
            <a:lumOff val="2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tx2">
            <a:lumMod val="60000"/>
            <a:lumOff val="40000"/>
          </a:schemeClr>
        </a:solidFill>
        <a:prstDash val="dash"/>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57.xml><?xml version="1.0" encoding="utf-8"?>
<cs:chartStyle xmlns:cs="http://schemas.microsoft.com/office/drawing/2012/chartStyle" xmlns:a="http://schemas.openxmlformats.org/drawingml/2006/main" id="26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3" Type="http://schemas.openxmlformats.org/officeDocument/2006/relationships/image" Target="../media/image2.svg"/><Relationship Id="rId2" Type="http://schemas.openxmlformats.org/officeDocument/2006/relationships/image" Target="../media/image1.png"/><Relationship Id="rId1" Type="http://schemas.openxmlformats.org/officeDocument/2006/relationships/chart" Target="../charts/chart1.xml"/></Relationships>
</file>

<file path=xl/drawings/_rels/drawing2.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3.xml.rels><?xml version="1.0" encoding="UTF-8" standalone="yes"?>
<Relationships xmlns="http://schemas.openxmlformats.org/package/2006/relationships"><Relationship Id="rId1" Type="http://schemas.openxmlformats.org/officeDocument/2006/relationships/chart" Target="../charts/chart2.xml"/></Relationships>
</file>

<file path=xl/drawings/_rels/drawing4.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chart" Target="../charts/chart4.xml"/><Relationship Id="rId1" Type="http://schemas.openxmlformats.org/officeDocument/2006/relationships/chart" Target="../charts/chart3.xml"/></Relationships>
</file>

<file path=xl/drawings/_rels/drawing5.xml.rels><?xml version="1.0" encoding="UTF-8" standalone="yes"?>
<Relationships xmlns="http://schemas.openxmlformats.org/package/2006/relationships"><Relationship Id="rId3" Type="http://schemas.openxmlformats.org/officeDocument/2006/relationships/chart" Target="../charts/chart8.xml"/><Relationship Id="rId2" Type="http://schemas.openxmlformats.org/officeDocument/2006/relationships/chart" Target="../charts/chart7.xml"/><Relationship Id="rId1" Type="http://schemas.openxmlformats.org/officeDocument/2006/relationships/chart" Target="../charts/chart6.xml"/><Relationship Id="rId4" Type="http://schemas.openxmlformats.org/officeDocument/2006/relationships/chart" Target="../charts/chart9.xml"/></Relationships>
</file>

<file path=xl/drawings/_rels/drawing6.xml.rels><?xml version="1.0" encoding="UTF-8" standalone="yes"?>
<Relationships xmlns="http://schemas.openxmlformats.org/package/2006/relationships"><Relationship Id="rId1" Type="http://schemas.openxmlformats.org/officeDocument/2006/relationships/chart" Target="../charts/chart10.xml"/></Relationships>
</file>

<file path=xl/drawings/_rels/drawing7.xml.rels><?xml version="1.0" encoding="UTF-8" standalone="yes"?>
<Relationships xmlns="http://schemas.openxmlformats.org/package/2006/relationships"><Relationship Id="rId3" Type="http://schemas.openxmlformats.org/officeDocument/2006/relationships/chart" Target="../charts/chart13.xml"/><Relationship Id="rId7" Type="http://schemas.openxmlformats.org/officeDocument/2006/relationships/chart" Target="../charts/chart17.xml"/><Relationship Id="rId2" Type="http://schemas.openxmlformats.org/officeDocument/2006/relationships/chart" Target="../charts/chart12.xml"/><Relationship Id="rId1" Type="http://schemas.openxmlformats.org/officeDocument/2006/relationships/chart" Target="../charts/chart11.xml"/><Relationship Id="rId6" Type="http://schemas.openxmlformats.org/officeDocument/2006/relationships/chart" Target="../charts/chart16.xml"/><Relationship Id="rId5" Type="http://schemas.openxmlformats.org/officeDocument/2006/relationships/chart" Target="../charts/chart15.xml"/><Relationship Id="rId4" Type="http://schemas.openxmlformats.org/officeDocument/2006/relationships/chart" Target="../charts/chart14.xml"/></Relationships>
</file>

<file path=xl/drawings/_rels/drawing8.xml.rels><?xml version="1.0" encoding="UTF-8" standalone="yes"?>
<Relationships xmlns="http://schemas.openxmlformats.org/package/2006/relationships"><Relationship Id="rId1" Type="http://schemas.openxmlformats.org/officeDocument/2006/relationships/chart" Target="../charts/chart18.xml"/></Relationships>
</file>

<file path=xl/drawings/_rels/drawing9.xml.rels><?xml version="1.0" encoding="UTF-8" standalone="yes"?>
<Relationships xmlns="http://schemas.openxmlformats.org/package/2006/relationships"><Relationship Id="rId1" Type="http://schemas.openxmlformats.org/officeDocument/2006/relationships/chart" Target="../charts/chart19.xml"/></Relationships>
</file>

<file path=xl/drawings/_rels/drawing10.xml.rels><?xml version="1.0" encoding="UTF-8" standalone="yes"?>
<Relationships xmlns="http://schemas.openxmlformats.org/package/2006/relationships"><Relationship Id="rId1" Type="http://schemas.openxmlformats.org/officeDocument/2006/relationships/chart" Target="../charts/chart20.xml"/></Relationships>
</file>

<file path=xl/drawings/_rels/drawing11.xml.rels><?xml version="1.0" encoding="UTF-8" standalone="yes"?>
<Relationships xmlns="http://schemas.openxmlformats.org/package/2006/relationships"><Relationship Id="rId1" Type="http://schemas.openxmlformats.org/officeDocument/2006/relationships/chart" Target="../charts/chart21.xml"/></Relationships>
</file>

<file path=xl/drawings/_rels/drawing12.xml.rels><?xml version="1.0" encoding="UTF-8" standalone="yes"?>
<Relationships xmlns="http://schemas.openxmlformats.org/package/2006/relationships"><Relationship Id="rId1" Type="http://schemas.openxmlformats.org/officeDocument/2006/relationships/chart" Target="../charts/chart22.xml"/></Relationships>
</file>

<file path=xl/drawings/_rels/drawing13.xml.rels><?xml version="1.0" encoding="UTF-8" standalone="yes"?>
<Relationships xmlns="http://schemas.openxmlformats.org/package/2006/relationships"><Relationship Id="rId2" Type="http://schemas.openxmlformats.org/officeDocument/2006/relationships/chart" Target="../charts/chart24.xml"/><Relationship Id="rId1" Type="http://schemas.openxmlformats.org/officeDocument/2006/relationships/chart" Target="../charts/chart23.xml"/></Relationships>
</file>

<file path=xl/drawings/_rels/drawing14.xml.rels><?xml version="1.0" encoding="UTF-8" standalone="yes"?>
<Relationships xmlns="http://schemas.openxmlformats.org/package/2006/relationships"><Relationship Id="rId2" Type="http://schemas.openxmlformats.org/officeDocument/2006/relationships/chart" Target="../charts/chart26.xml"/><Relationship Id="rId1" Type="http://schemas.openxmlformats.org/officeDocument/2006/relationships/chart" Target="../charts/chart25.xml"/></Relationships>
</file>

<file path=xl/drawings/_rels/drawing15.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chart" Target="../charts/chart27.xml"/></Relationships>
</file>

<file path=xl/drawings/_rels/drawing16.xml.rels><?xml version="1.0" encoding="UTF-8" standalone="yes"?>
<Relationships xmlns="http://schemas.openxmlformats.org/package/2006/relationships"><Relationship Id="rId8" Type="http://schemas.openxmlformats.org/officeDocument/2006/relationships/chart" Target="../charts/chart35.xml"/><Relationship Id="rId13" Type="http://schemas.openxmlformats.org/officeDocument/2006/relationships/chart" Target="../charts/chart40.xml"/><Relationship Id="rId18" Type="http://schemas.openxmlformats.org/officeDocument/2006/relationships/image" Target="../media/image8.png"/><Relationship Id="rId26" Type="http://schemas.openxmlformats.org/officeDocument/2006/relationships/image" Target="../media/image9.png"/><Relationship Id="rId3" Type="http://schemas.openxmlformats.org/officeDocument/2006/relationships/chart" Target="../charts/chart30.xml"/><Relationship Id="rId21" Type="http://schemas.openxmlformats.org/officeDocument/2006/relationships/chart" Target="../charts/chart47.xml"/><Relationship Id="rId7" Type="http://schemas.openxmlformats.org/officeDocument/2006/relationships/chart" Target="../charts/chart34.xml"/><Relationship Id="rId12" Type="http://schemas.openxmlformats.org/officeDocument/2006/relationships/chart" Target="../charts/chart39.xml"/><Relationship Id="rId17" Type="http://schemas.openxmlformats.org/officeDocument/2006/relationships/chart" Target="../charts/chart44.xml"/><Relationship Id="rId25" Type="http://schemas.openxmlformats.org/officeDocument/2006/relationships/chart" Target="../charts/chart51.xml"/><Relationship Id="rId2" Type="http://schemas.openxmlformats.org/officeDocument/2006/relationships/chart" Target="../charts/chart29.xml"/><Relationship Id="rId16" Type="http://schemas.openxmlformats.org/officeDocument/2006/relationships/chart" Target="../charts/chart43.xml"/><Relationship Id="rId20" Type="http://schemas.openxmlformats.org/officeDocument/2006/relationships/chart" Target="../charts/chart46.xml"/><Relationship Id="rId1" Type="http://schemas.openxmlformats.org/officeDocument/2006/relationships/chart" Target="../charts/chart28.xml"/><Relationship Id="rId6" Type="http://schemas.openxmlformats.org/officeDocument/2006/relationships/chart" Target="../charts/chart33.xml"/><Relationship Id="rId11" Type="http://schemas.openxmlformats.org/officeDocument/2006/relationships/chart" Target="../charts/chart38.xml"/><Relationship Id="rId24" Type="http://schemas.openxmlformats.org/officeDocument/2006/relationships/chart" Target="../charts/chart50.xml"/><Relationship Id="rId5" Type="http://schemas.openxmlformats.org/officeDocument/2006/relationships/chart" Target="../charts/chart32.xml"/><Relationship Id="rId15" Type="http://schemas.openxmlformats.org/officeDocument/2006/relationships/chart" Target="../charts/chart42.xml"/><Relationship Id="rId23" Type="http://schemas.openxmlformats.org/officeDocument/2006/relationships/chart" Target="../charts/chart49.xml"/><Relationship Id="rId10" Type="http://schemas.openxmlformats.org/officeDocument/2006/relationships/chart" Target="../charts/chart37.xml"/><Relationship Id="rId19" Type="http://schemas.openxmlformats.org/officeDocument/2006/relationships/chart" Target="../charts/chart45.xml"/><Relationship Id="rId4" Type="http://schemas.openxmlformats.org/officeDocument/2006/relationships/chart" Target="../charts/chart31.xml"/><Relationship Id="rId9" Type="http://schemas.openxmlformats.org/officeDocument/2006/relationships/chart" Target="../charts/chart36.xml"/><Relationship Id="rId14" Type="http://schemas.openxmlformats.org/officeDocument/2006/relationships/chart" Target="../charts/chart41.xml"/><Relationship Id="rId22" Type="http://schemas.openxmlformats.org/officeDocument/2006/relationships/chart" Target="../charts/chart48.xml"/></Relationships>
</file>

<file path=xl/drawings/_rels/drawing17.xml.rels><?xml version="1.0" encoding="UTF-8" standalone="yes"?>
<Relationships xmlns="http://schemas.openxmlformats.org/package/2006/relationships"><Relationship Id="rId3" Type="http://schemas.openxmlformats.org/officeDocument/2006/relationships/chart" Target="../charts/chart52.xml"/><Relationship Id="rId2" Type="http://schemas.openxmlformats.org/officeDocument/2006/relationships/image" Target="../media/image11.png"/><Relationship Id="rId1" Type="http://schemas.openxmlformats.org/officeDocument/2006/relationships/image" Target="../media/image10.png"/><Relationship Id="rId5" Type="http://schemas.openxmlformats.org/officeDocument/2006/relationships/image" Target="../media/image13.png"/><Relationship Id="rId4" Type="http://schemas.openxmlformats.org/officeDocument/2006/relationships/image" Target="../media/image12.png"/></Relationships>
</file>

<file path=xl/drawings/_rels/drawing18.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7.png"/></Relationships>
</file>

<file path=xl/drawings/_rels/drawing19.xml.rels><?xml version="1.0" encoding="UTF-8" standalone="yes"?>
<Relationships xmlns="http://schemas.openxmlformats.org/package/2006/relationships"><Relationship Id="rId3" Type="http://schemas.openxmlformats.org/officeDocument/2006/relationships/chart" Target="../charts/chart55.xml"/><Relationship Id="rId2" Type="http://schemas.openxmlformats.org/officeDocument/2006/relationships/chart" Target="../charts/chart54.xml"/><Relationship Id="rId1" Type="http://schemas.openxmlformats.org/officeDocument/2006/relationships/chart" Target="../charts/chart53.xml"/><Relationship Id="rId4" Type="http://schemas.openxmlformats.org/officeDocument/2006/relationships/image" Target="../media/image18.png"/></Relationships>
</file>

<file path=xl/drawings/_rels/drawing20.xml.rels><?xml version="1.0" encoding="UTF-8" standalone="yes"?>
<Relationships xmlns="http://schemas.openxmlformats.org/package/2006/relationships"><Relationship Id="rId3" Type="http://schemas.openxmlformats.org/officeDocument/2006/relationships/image" Target="../media/image21.png"/><Relationship Id="rId2" Type="http://schemas.openxmlformats.org/officeDocument/2006/relationships/image" Target="../media/image20.png"/><Relationship Id="rId1" Type="http://schemas.openxmlformats.org/officeDocument/2006/relationships/image" Target="../media/image19.png"/></Relationships>
</file>

<file path=xl/drawings/_rels/drawing21.xml.rels><?xml version="1.0" encoding="UTF-8" standalone="yes"?>
<Relationships xmlns="http://schemas.openxmlformats.org/package/2006/relationships"><Relationship Id="rId2" Type="http://schemas.openxmlformats.org/officeDocument/2006/relationships/chart" Target="../charts/chart57.xml"/><Relationship Id="rId1" Type="http://schemas.openxmlformats.org/officeDocument/2006/relationships/chart" Target="../charts/chart56.xml"/></Relationships>
</file>

<file path=xl/drawings/_rels/drawing22.xml.rels><?xml version="1.0" encoding="UTF-8" standalone="yes"?>
<Relationships xmlns="http://schemas.openxmlformats.org/package/2006/relationships"><Relationship Id="rId2" Type="http://schemas.openxmlformats.org/officeDocument/2006/relationships/chart" Target="../charts/chart58.xml"/><Relationship Id="rId1" Type="http://schemas.openxmlformats.org/officeDocument/2006/relationships/image" Target="../media/image22.png"/></Relationships>
</file>

<file path=xl/drawings/_rels/drawing23.xml.rels><?xml version="1.0" encoding="UTF-8" standalone="yes"?>
<Relationships xmlns="http://schemas.openxmlformats.org/package/2006/relationships"><Relationship Id="rId1" Type="http://schemas.openxmlformats.org/officeDocument/2006/relationships/chart" Target="../charts/chart59.xml"/></Relationships>
</file>

<file path=xl/drawings/_rels/drawing24.xml.rels><?xml version="1.0" encoding="UTF-8" standalone="yes"?>
<Relationships xmlns="http://schemas.openxmlformats.org/package/2006/relationships"><Relationship Id="rId1" Type="http://schemas.openxmlformats.org/officeDocument/2006/relationships/chart" Target="../charts/chart60.xml"/></Relationships>
</file>

<file path=xl/drawings/_rels/drawing25.xml.rels><?xml version="1.0" encoding="UTF-8" standalone="yes"?>
<Relationships xmlns="http://schemas.openxmlformats.org/package/2006/relationships"><Relationship Id="rId1" Type="http://schemas.openxmlformats.org/officeDocument/2006/relationships/chart" Target="../charts/chart61.xml"/></Relationships>
</file>

<file path=xl/drawings/_rels/drawing26.xml.rels><?xml version="1.0" encoding="UTF-8" standalone="yes"?>
<Relationships xmlns="http://schemas.openxmlformats.org/package/2006/relationships"><Relationship Id="rId2" Type="http://schemas.openxmlformats.org/officeDocument/2006/relationships/chart" Target="../charts/chart63.xml"/><Relationship Id="rId1" Type="http://schemas.openxmlformats.org/officeDocument/2006/relationships/chart" Target="../charts/chart62.xml"/></Relationships>
</file>

<file path=xl/drawings/_rels/drawing27.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s>
</file>

<file path=xl/drawings/drawing1.xml><?xml version="1.0" encoding="utf-8"?>
<xdr:wsDr xmlns:xdr="http://schemas.openxmlformats.org/drawingml/2006/spreadsheetDrawing" xmlns:a="http://schemas.openxmlformats.org/drawingml/2006/main">
  <xdr:twoCellAnchor>
    <xdr:from>
      <xdr:col>1</xdr:col>
      <xdr:colOff>1292086</xdr:colOff>
      <xdr:row>28</xdr:row>
      <xdr:rowOff>0</xdr:rowOff>
    </xdr:from>
    <xdr:to>
      <xdr:col>20</xdr:col>
      <xdr:colOff>538368</xdr:colOff>
      <xdr:row>44</xdr:row>
      <xdr:rowOff>23812</xdr:rowOff>
    </xdr:to>
    <xdr:graphicFrame macro="">
      <xdr:nvGraphicFramePr>
        <xdr:cNvPr id="2" name="Chart 1">
          <a:extLst>
            <a:ext uri="{FF2B5EF4-FFF2-40B4-BE49-F238E27FC236}">
              <a16:creationId xmlns:a16="http://schemas.microsoft.com/office/drawing/2014/main" id="{AA9957BA-B97F-4590-8676-789A64D8089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333374</xdr:colOff>
      <xdr:row>0</xdr:row>
      <xdr:rowOff>0</xdr:rowOff>
    </xdr:from>
    <xdr:to>
      <xdr:col>34</xdr:col>
      <xdr:colOff>190500</xdr:colOff>
      <xdr:row>289</xdr:row>
      <xdr:rowOff>181714</xdr:rowOff>
    </xdr:to>
    <xdr:pic>
      <xdr:nvPicPr>
        <xdr:cNvPr id="4" name="Graphic 3">
          <a:extLst>
            <a:ext uri="{FF2B5EF4-FFF2-40B4-BE49-F238E27FC236}">
              <a16:creationId xmlns:a16="http://schemas.microsoft.com/office/drawing/2014/main" id="{6BCF7AD2-C52C-861E-31F2-7AFF5D47056F}"/>
            </a:ext>
          </a:extLst>
        </xdr:cNvPr>
        <xdr:cNvPicPr>
          <a:picLocks noChangeAspect="1"/>
        </xdr:cNvPicPr>
      </xdr:nvPicPr>
      <xdr:blipFill>
        <a:blip xmlns:r="http://schemas.openxmlformats.org/officeDocument/2006/relationships" r:embed="rId2">
          <a:extLst>
            <a:ext uri="{96DAC541-7B7A-43D3-8B79-37D633B846F1}">
              <asvg:svgBlip xmlns:asvg="http://schemas.microsoft.com/office/drawing/2016/SVG/main" r:embed="rId3"/>
            </a:ext>
          </a:extLst>
        </a:blip>
        <a:stretch>
          <a:fillRect/>
        </a:stretch>
      </xdr:blipFill>
      <xdr:spPr>
        <a:xfrm>
          <a:off x="333374" y="0"/>
          <a:ext cx="34242376" cy="4685421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xdr:colOff>
      <xdr:row>0</xdr:row>
      <xdr:rowOff>0</xdr:rowOff>
    </xdr:from>
    <xdr:to>
      <xdr:col>4</xdr:col>
      <xdr:colOff>160060</xdr:colOff>
      <xdr:row>45</xdr:row>
      <xdr:rowOff>204107</xdr:rowOff>
    </xdr:to>
    <xdr:pic>
      <xdr:nvPicPr>
        <xdr:cNvPr id="2" name="Picture 1">
          <a:extLst>
            <a:ext uri="{FF2B5EF4-FFF2-40B4-BE49-F238E27FC236}">
              <a16:creationId xmlns:a16="http://schemas.microsoft.com/office/drawing/2014/main" id="{5BC978EE-3BFC-4146-DCAA-9294DEFA45EF}"/>
            </a:ext>
          </a:extLst>
        </xdr:cNvPr>
        <xdr:cNvPicPr>
          <a:picLocks noChangeAspect="1"/>
        </xdr:cNvPicPr>
      </xdr:nvPicPr>
      <xdr:blipFill>
        <a:blip xmlns:r="http://schemas.openxmlformats.org/officeDocument/2006/relationships" r:embed="rId1"/>
        <a:stretch>
          <a:fillRect/>
        </a:stretch>
      </xdr:blipFill>
      <xdr:spPr>
        <a:xfrm>
          <a:off x="54428" y="0"/>
          <a:ext cx="10555918" cy="14287500"/>
        </a:xfrm>
        <a:prstGeom prst="rect">
          <a:avLst/>
        </a:prstGeom>
      </xdr:spPr>
    </xdr:pic>
    <xdr:clientData/>
  </xdr:twoCellAnchor>
  <xdr:twoCellAnchor editAs="oneCell">
    <xdr:from>
      <xdr:col>1</xdr:col>
      <xdr:colOff>-1</xdr:colOff>
      <xdr:row>51</xdr:row>
      <xdr:rowOff>-1</xdr:rowOff>
    </xdr:from>
    <xdr:to>
      <xdr:col>4</xdr:col>
      <xdr:colOff>7841</xdr:colOff>
      <xdr:row>96</xdr:row>
      <xdr:rowOff>68036</xdr:rowOff>
    </xdr:to>
    <xdr:pic>
      <xdr:nvPicPr>
        <xdr:cNvPr id="3" name="Picture 2">
          <a:extLst>
            <a:ext uri="{FF2B5EF4-FFF2-40B4-BE49-F238E27FC236}">
              <a16:creationId xmlns:a16="http://schemas.microsoft.com/office/drawing/2014/main" id="{4AAA0D62-3E26-DBFE-DE97-571163606B42}"/>
            </a:ext>
          </a:extLst>
        </xdr:cNvPr>
        <xdr:cNvPicPr>
          <a:picLocks noChangeAspect="1"/>
        </xdr:cNvPicPr>
      </xdr:nvPicPr>
      <xdr:blipFill>
        <a:blip xmlns:r="http://schemas.openxmlformats.org/officeDocument/2006/relationships" r:embed="rId2"/>
        <a:stretch>
          <a:fillRect/>
        </a:stretch>
      </xdr:blipFill>
      <xdr:spPr>
        <a:xfrm>
          <a:off x="54428" y="15961178"/>
          <a:ext cx="10403699" cy="14151429"/>
        </a:xfrm>
        <a:prstGeom prst="rect">
          <a:avLst/>
        </a:prstGeom>
      </xdr:spPr>
    </xdr:pic>
    <xdr:clientData/>
  </xdr:twoCellAnchor>
  <xdr:twoCellAnchor editAs="oneCell">
    <xdr:from>
      <xdr:col>1</xdr:col>
      <xdr:colOff>-1</xdr:colOff>
      <xdr:row>102</xdr:row>
      <xdr:rowOff>0</xdr:rowOff>
    </xdr:from>
    <xdr:to>
      <xdr:col>4</xdr:col>
      <xdr:colOff>27213</xdr:colOff>
      <xdr:row>148</xdr:row>
      <xdr:rowOff>81799</xdr:rowOff>
    </xdr:to>
    <xdr:pic>
      <xdr:nvPicPr>
        <xdr:cNvPr id="4" name="Picture 3">
          <a:extLst>
            <a:ext uri="{FF2B5EF4-FFF2-40B4-BE49-F238E27FC236}">
              <a16:creationId xmlns:a16="http://schemas.microsoft.com/office/drawing/2014/main" id="{6F571CE8-F297-5FAB-F1BE-93B7E26B581F}"/>
            </a:ext>
          </a:extLst>
        </xdr:cNvPr>
        <xdr:cNvPicPr>
          <a:picLocks noChangeAspect="1"/>
        </xdr:cNvPicPr>
      </xdr:nvPicPr>
      <xdr:blipFill>
        <a:blip xmlns:r="http://schemas.openxmlformats.org/officeDocument/2006/relationships" r:embed="rId3"/>
        <a:stretch>
          <a:fillRect/>
        </a:stretch>
      </xdr:blipFill>
      <xdr:spPr>
        <a:xfrm>
          <a:off x="54428" y="31922357"/>
          <a:ext cx="10423071" cy="14478156"/>
        </a:xfrm>
        <a:prstGeom prst="rect">
          <a:avLst/>
        </a:prstGeom>
      </xdr:spPr>
    </xdr:pic>
    <xdr:clientData/>
  </xdr:twoCellAnchor>
  <xdr:twoCellAnchor editAs="oneCell">
    <xdr:from>
      <xdr:col>1</xdr:col>
      <xdr:colOff>-1</xdr:colOff>
      <xdr:row>153</xdr:row>
      <xdr:rowOff>0</xdr:rowOff>
    </xdr:from>
    <xdr:to>
      <xdr:col>4</xdr:col>
      <xdr:colOff>129549</xdr:colOff>
      <xdr:row>194</xdr:row>
      <xdr:rowOff>272143</xdr:rowOff>
    </xdr:to>
    <xdr:pic>
      <xdr:nvPicPr>
        <xdr:cNvPr id="5" name="Picture 4">
          <a:extLst>
            <a:ext uri="{FF2B5EF4-FFF2-40B4-BE49-F238E27FC236}">
              <a16:creationId xmlns:a16="http://schemas.microsoft.com/office/drawing/2014/main" id="{A6A28561-2C54-8E94-84A1-3DD0B0990917}"/>
            </a:ext>
          </a:extLst>
        </xdr:cNvPr>
        <xdr:cNvPicPr>
          <a:picLocks noChangeAspect="1"/>
        </xdr:cNvPicPr>
      </xdr:nvPicPr>
      <xdr:blipFill>
        <a:blip xmlns:r="http://schemas.openxmlformats.org/officeDocument/2006/relationships" r:embed="rId4"/>
        <a:stretch>
          <a:fillRect/>
        </a:stretch>
      </xdr:blipFill>
      <xdr:spPr>
        <a:xfrm>
          <a:off x="54428" y="47883536"/>
          <a:ext cx="10525407" cy="1310367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155863</xdr:colOff>
      <xdr:row>57</xdr:row>
      <xdr:rowOff>190500</xdr:rowOff>
    </xdr:from>
    <xdr:to>
      <xdr:col>22</xdr:col>
      <xdr:colOff>1368135</xdr:colOff>
      <xdr:row>80</xdr:row>
      <xdr:rowOff>6494</xdr:rowOff>
    </xdr:to>
    <xdr:graphicFrame macro="">
      <xdr:nvGraphicFramePr>
        <xdr:cNvPr id="2" name="Chart 1">
          <a:extLst>
            <a:ext uri="{FF2B5EF4-FFF2-40B4-BE49-F238E27FC236}">
              <a16:creationId xmlns:a16="http://schemas.microsoft.com/office/drawing/2014/main" id="{D4A8E26C-0DD9-4A4A-9254-A24B22C8A72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4.xml><?xml version="1.0" encoding="utf-8"?>
<xdr:wsDr xmlns:xdr="http://schemas.openxmlformats.org/drawingml/2006/spreadsheetDrawing" xmlns:a="http://schemas.openxmlformats.org/drawingml/2006/main">
  <xdr:twoCellAnchor>
    <xdr:from>
      <xdr:col>12</xdr:col>
      <xdr:colOff>557892</xdr:colOff>
      <xdr:row>0</xdr:row>
      <xdr:rowOff>68036</xdr:rowOff>
    </xdr:from>
    <xdr:to>
      <xdr:col>22</xdr:col>
      <xdr:colOff>197302</xdr:colOff>
      <xdr:row>12</xdr:row>
      <xdr:rowOff>190500</xdr:rowOff>
    </xdr:to>
    <xdr:graphicFrame macro="">
      <xdr:nvGraphicFramePr>
        <xdr:cNvPr id="2" name="Chart 1">
          <a:extLst>
            <a:ext uri="{FF2B5EF4-FFF2-40B4-BE49-F238E27FC236}">
              <a16:creationId xmlns:a16="http://schemas.microsoft.com/office/drawing/2014/main" id="{398BD810-B5CF-4F43-5AD3-5A56C1CAA019}"/>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12</xdr:col>
      <xdr:colOff>476250</xdr:colOff>
      <xdr:row>12</xdr:row>
      <xdr:rowOff>258536</xdr:rowOff>
    </xdr:from>
    <xdr:to>
      <xdr:col>22</xdr:col>
      <xdr:colOff>462643</xdr:colOff>
      <xdr:row>25</xdr:row>
      <xdr:rowOff>122465</xdr:rowOff>
    </xdr:to>
    <xdr:graphicFrame macro="">
      <xdr:nvGraphicFramePr>
        <xdr:cNvPr id="3" name="Chart 2">
          <a:extLst>
            <a:ext uri="{FF2B5EF4-FFF2-40B4-BE49-F238E27FC236}">
              <a16:creationId xmlns:a16="http://schemas.microsoft.com/office/drawing/2014/main" id="{7F2C27F5-219B-E751-F593-C47914781E68}"/>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12</xdr:col>
      <xdr:colOff>510266</xdr:colOff>
      <xdr:row>26</xdr:row>
      <xdr:rowOff>111578</xdr:rowOff>
    </xdr:from>
    <xdr:to>
      <xdr:col>22</xdr:col>
      <xdr:colOff>421821</xdr:colOff>
      <xdr:row>40</xdr:row>
      <xdr:rowOff>95250</xdr:rowOff>
    </xdr:to>
    <xdr:graphicFrame macro="">
      <xdr:nvGraphicFramePr>
        <xdr:cNvPr id="4" name="Chart 3">
          <a:extLst>
            <a:ext uri="{FF2B5EF4-FFF2-40B4-BE49-F238E27FC236}">
              <a16:creationId xmlns:a16="http://schemas.microsoft.com/office/drawing/2014/main" id="{6741A185-1583-A8BF-B4B1-D1CEF9CED49C}"/>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xml><?xml version="1.0" encoding="utf-8"?>
<xdr:wsDr xmlns:xdr="http://schemas.openxmlformats.org/drawingml/2006/spreadsheetDrawing" xmlns:a="http://schemas.openxmlformats.org/drawingml/2006/main">
  <xdr:twoCellAnchor>
    <xdr:from>
      <xdr:col>15</xdr:col>
      <xdr:colOff>0</xdr:colOff>
      <xdr:row>48</xdr:row>
      <xdr:rowOff>130968</xdr:rowOff>
    </xdr:from>
    <xdr:to>
      <xdr:col>15</xdr:col>
      <xdr:colOff>35719</xdr:colOff>
      <xdr:row>65</xdr:row>
      <xdr:rowOff>35717</xdr:rowOff>
    </xdr:to>
    <xdr:graphicFrame macro="">
      <xdr:nvGraphicFramePr>
        <xdr:cNvPr id="2" name="Chart 1">
          <a:extLst>
            <a:ext uri="{FF2B5EF4-FFF2-40B4-BE49-F238E27FC236}">
              <a16:creationId xmlns:a16="http://schemas.microsoft.com/office/drawing/2014/main" id="{38CF4C80-E0E3-4665-AD2F-3073C3A4AF1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15</xdr:col>
      <xdr:colOff>0</xdr:colOff>
      <xdr:row>70</xdr:row>
      <xdr:rowOff>0</xdr:rowOff>
    </xdr:from>
    <xdr:to>
      <xdr:col>15</xdr:col>
      <xdr:colOff>154781</xdr:colOff>
      <xdr:row>142</xdr:row>
      <xdr:rowOff>145257</xdr:rowOff>
    </xdr:to>
    <xdr:graphicFrame macro="">
      <xdr:nvGraphicFramePr>
        <xdr:cNvPr id="3" name="Chart 2">
          <a:extLst>
            <a:ext uri="{FF2B5EF4-FFF2-40B4-BE49-F238E27FC236}">
              <a16:creationId xmlns:a16="http://schemas.microsoft.com/office/drawing/2014/main" id="{DC2B3620-7FEA-4E6D-BE29-61BEFA28CBD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122465</xdr:colOff>
      <xdr:row>45</xdr:row>
      <xdr:rowOff>5106</xdr:rowOff>
    </xdr:from>
    <xdr:to>
      <xdr:col>11</xdr:col>
      <xdr:colOff>54428</xdr:colOff>
      <xdr:row>60</xdr:row>
      <xdr:rowOff>108856</xdr:rowOff>
    </xdr:to>
    <xdr:graphicFrame macro="">
      <xdr:nvGraphicFramePr>
        <xdr:cNvPr id="4" name="Chart 3">
          <a:extLst>
            <a:ext uri="{FF2B5EF4-FFF2-40B4-BE49-F238E27FC236}">
              <a16:creationId xmlns:a16="http://schemas.microsoft.com/office/drawing/2014/main" id="{413D1E4A-18E3-490C-BCA9-2E5853AA7C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122465</xdr:colOff>
      <xdr:row>61</xdr:row>
      <xdr:rowOff>27215</xdr:rowOff>
    </xdr:from>
    <xdr:to>
      <xdr:col>11</xdr:col>
      <xdr:colOff>68036</xdr:colOff>
      <xdr:row>74</xdr:row>
      <xdr:rowOff>27214</xdr:rowOff>
    </xdr:to>
    <xdr:graphicFrame macro="">
      <xdr:nvGraphicFramePr>
        <xdr:cNvPr id="5" name="Chart 4">
          <a:extLst>
            <a:ext uri="{FF2B5EF4-FFF2-40B4-BE49-F238E27FC236}">
              <a16:creationId xmlns:a16="http://schemas.microsoft.com/office/drawing/2014/main" id="{A202B067-DF24-44AB-A2AF-996C0C200AA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6.xml><?xml version="1.0" encoding="utf-8"?>
<xdr:wsDr xmlns:xdr="http://schemas.openxmlformats.org/drawingml/2006/spreadsheetDrawing" xmlns:a="http://schemas.openxmlformats.org/drawingml/2006/main">
  <xdr:twoCellAnchor>
    <xdr:from>
      <xdr:col>2</xdr:col>
      <xdr:colOff>107154</xdr:colOff>
      <xdr:row>70</xdr:row>
      <xdr:rowOff>4762</xdr:rowOff>
    </xdr:from>
    <xdr:to>
      <xdr:col>6</xdr:col>
      <xdr:colOff>1702593</xdr:colOff>
      <xdr:row>89</xdr:row>
      <xdr:rowOff>71437</xdr:rowOff>
    </xdr:to>
    <xdr:graphicFrame macro="">
      <xdr:nvGraphicFramePr>
        <xdr:cNvPr id="2" name="Chart 1">
          <a:extLst>
            <a:ext uri="{FF2B5EF4-FFF2-40B4-BE49-F238E27FC236}">
              <a16:creationId xmlns:a16="http://schemas.microsoft.com/office/drawing/2014/main" id="{FA997FBE-4D13-4CB2-A192-3204B062B23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29</xdr:col>
      <xdr:colOff>580611</xdr:colOff>
      <xdr:row>159</xdr:row>
      <xdr:rowOff>120608</xdr:rowOff>
    </xdr:from>
    <xdr:to>
      <xdr:col>42</xdr:col>
      <xdr:colOff>496027</xdr:colOff>
      <xdr:row>181</xdr:row>
      <xdr:rowOff>11302</xdr:rowOff>
    </xdr:to>
    <xdr:graphicFrame macro="">
      <xdr:nvGraphicFramePr>
        <xdr:cNvPr id="2" name="Chart 1">
          <a:extLst>
            <a:ext uri="{FF2B5EF4-FFF2-40B4-BE49-F238E27FC236}">
              <a16:creationId xmlns:a16="http://schemas.microsoft.com/office/drawing/2014/main" id="{87A91047-90CE-48B9-BFB7-C6DD6FF02B2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30</xdr:col>
      <xdr:colOff>525518</xdr:colOff>
      <xdr:row>3</xdr:row>
      <xdr:rowOff>10948</xdr:rowOff>
    </xdr:from>
    <xdr:to>
      <xdr:col>43</xdr:col>
      <xdr:colOff>306552</xdr:colOff>
      <xdr:row>123</xdr:row>
      <xdr:rowOff>54741</xdr:rowOff>
    </xdr:to>
    <xdr:graphicFrame macro="">
      <xdr:nvGraphicFramePr>
        <xdr:cNvPr id="3" name="Chart 2">
          <a:extLst>
            <a:ext uri="{FF2B5EF4-FFF2-40B4-BE49-F238E27FC236}">
              <a16:creationId xmlns:a16="http://schemas.microsoft.com/office/drawing/2014/main" id="{E44CA6F8-2CBA-4F61-B7D2-9687BAD85BD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22</xdr:col>
      <xdr:colOff>176719</xdr:colOff>
      <xdr:row>18</xdr:row>
      <xdr:rowOff>43795</xdr:rowOff>
    </xdr:from>
    <xdr:to>
      <xdr:col>28</xdr:col>
      <xdr:colOff>412558</xdr:colOff>
      <xdr:row>69</xdr:row>
      <xdr:rowOff>176976</xdr:rowOff>
    </xdr:to>
    <xdr:graphicFrame macro="">
      <xdr:nvGraphicFramePr>
        <xdr:cNvPr id="4" name="Chart 3">
          <a:extLst>
            <a:ext uri="{FF2B5EF4-FFF2-40B4-BE49-F238E27FC236}">
              <a16:creationId xmlns:a16="http://schemas.microsoft.com/office/drawing/2014/main" id="{38B69BD0-96A6-4F92-A55C-2B056AC86C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0</xdr:colOff>
      <xdr:row>16</xdr:row>
      <xdr:rowOff>74083</xdr:rowOff>
    </xdr:from>
    <xdr:to>
      <xdr:col>4</xdr:col>
      <xdr:colOff>825500</xdr:colOff>
      <xdr:row>59</xdr:row>
      <xdr:rowOff>148165</xdr:rowOff>
    </xdr:to>
    <xdr:graphicFrame macro="">
      <xdr:nvGraphicFramePr>
        <xdr:cNvPr id="7" name="Chart 6">
          <a:extLst>
            <a:ext uri="{FF2B5EF4-FFF2-40B4-BE49-F238E27FC236}">
              <a16:creationId xmlns:a16="http://schemas.microsoft.com/office/drawing/2014/main" id="{94823B4F-363D-4147-B4CE-CDE7F239214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4</xdr:col>
      <xdr:colOff>867834</xdr:colOff>
      <xdr:row>16</xdr:row>
      <xdr:rowOff>74082</xdr:rowOff>
    </xdr:from>
    <xdr:to>
      <xdr:col>8</xdr:col>
      <xdr:colOff>1185333</xdr:colOff>
      <xdr:row>59</xdr:row>
      <xdr:rowOff>137582</xdr:rowOff>
    </xdr:to>
    <xdr:graphicFrame macro="">
      <xdr:nvGraphicFramePr>
        <xdr:cNvPr id="8" name="Chart 7">
          <a:extLst>
            <a:ext uri="{FF2B5EF4-FFF2-40B4-BE49-F238E27FC236}">
              <a16:creationId xmlns:a16="http://schemas.microsoft.com/office/drawing/2014/main" id="{AEBD87E3-95FF-423C-A5ED-558EC9176DF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2</xdr:col>
      <xdr:colOff>47625</xdr:colOff>
      <xdr:row>74</xdr:row>
      <xdr:rowOff>157162</xdr:rowOff>
    </xdr:from>
    <xdr:to>
      <xdr:col>5</xdr:col>
      <xdr:colOff>114300</xdr:colOff>
      <xdr:row>93</xdr:row>
      <xdr:rowOff>47625</xdr:rowOff>
    </xdr:to>
    <xdr:graphicFrame macro="">
      <xdr:nvGraphicFramePr>
        <xdr:cNvPr id="9" name="Chart 8">
          <a:extLst>
            <a:ext uri="{FF2B5EF4-FFF2-40B4-BE49-F238E27FC236}">
              <a16:creationId xmlns:a16="http://schemas.microsoft.com/office/drawing/2014/main" id="{AB5E8039-6176-0F9F-1A8E-1E2D49DAE27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185736</xdr:colOff>
      <xdr:row>74</xdr:row>
      <xdr:rowOff>157161</xdr:rowOff>
    </xdr:from>
    <xdr:to>
      <xdr:col>8</xdr:col>
      <xdr:colOff>1047749</xdr:colOff>
      <xdr:row>93</xdr:row>
      <xdr:rowOff>57149</xdr:rowOff>
    </xdr:to>
    <xdr:graphicFrame macro="">
      <xdr:nvGraphicFramePr>
        <xdr:cNvPr id="10" name="Chart 9">
          <a:extLst>
            <a:ext uri="{FF2B5EF4-FFF2-40B4-BE49-F238E27FC236}">
              <a16:creationId xmlns:a16="http://schemas.microsoft.com/office/drawing/2014/main" id="{F28CD09A-687F-F1CD-E6D9-BBA30E4FF3A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wsDr>
</file>

<file path=xl/drawings/drawing8.xml><?xml version="1.0" encoding="utf-8"?>
<xdr:wsDr xmlns:xdr="http://schemas.openxmlformats.org/drawingml/2006/spreadsheetDrawing" xmlns:a="http://schemas.openxmlformats.org/drawingml/2006/main">
  <xdr:twoCellAnchor>
    <xdr:from>
      <xdr:col>2</xdr:col>
      <xdr:colOff>13608</xdr:colOff>
      <xdr:row>1</xdr:row>
      <xdr:rowOff>125337</xdr:rowOff>
    </xdr:from>
    <xdr:to>
      <xdr:col>13</xdr:col>
      <xdr:colOff>6892637</xdr:colOff>
      <xdr:row>46</xdr:row>
      <xdr:rowOff>63088</xdr:rowOff>
    </xdr:to>
    <xdr:graphicFrame macro="">
      <xdr:nvGraphicFramePr>
        <xdr:cNvPr id="2" name="Chart 1">
          <a:extLst>
            <a:ext uri="{FF2B5EF4-FFF2-40B4-BE49-F238E27FC236}">
              <a16:creationId xmlns:a16="http://schemas.microsoft.com/office/drawing/2014/main" id="{73590BDF-32C9-453F-9363-5E4A201221D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9.xml><?xml version="1.0" encoding="utf-8"?>
<xdr:wsDr xmlns:xdr="http://schemas.openxmlformats.org/drawingml/2006/spreadsheetDrawing" xmlns:a="http://schemas.openxmlformats.org/drawingml/2006/main">
  <xdr:twoCellAnchor>
    <xdr:from>
      <xdr:col>3</xdr:col>
      <xdr:colOff>809625</xdr:colOff>
      <xdr:row>45</xdr:row>
      <xdr:rowOff>192098</xdr:rowOff>
    </xdr:from>
    <xdr:to>
      <xdr:col>14</xdr:col>
      <xdr:colOff>1143000</xdr:colOff>
      <xdr:row>59</xdr:row>
      <xdr:rowOff>190500</xdr:rowOff>
    </xdr:to>
    <xdr:graphicFrame macro="">
      <xdr:nvGraphicFramePr>
        <xdr:cNvPr id="2" name="Chart 1">
          <a:extLst>
            <a:ext uri="{FF2B5EF4-FFF2-40B4-BE49-F238E27FC236}">
              <a16:creationId xmlns:a16="http://schemas.microsoft.com/office/drawing/2014/main" id="{11CAC454-149C-4998-B87E-08AC7358DD0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0.xml><?xml version="1.0" encoding="utf-8"?>
<xdr:wsDr xmlns:xdr="http://schemas.openxmlformats.org/drawingml/2006/spreadsheetDrawing" xmlns:a="http://schemas.openxmlformats.org/drawingml/2006/main">
  <xdr:twoCellAnchor>
    <xdr:from>
      <xdr:col>13</xdr:col>
      <xdr:colOff>57149</xdr:colOff>
      <xdr:row>2</xdr:row>
      <xdr:rowOff>38099</xdr:rowOff>
    </xdr:from>
    <xdr:to>
      <xdr:col>25</xdr:col>
      <xdr:colOff>535781</xdr:colOff>
      <xdr:row>16</xdr:row>
      <xdr:rowOff>11905</xdr:rowOff>
    </xdr:to>
    <xdr:graphicFrame macro="">
      <xdr:nvGraphicFramePr>
        <xdr:cNvPr id="2" name="Chart 1">
          <a:extLst>
            <a:ext uri="{FF2B5EF4-FFF2-40B4-BE49-F238E27FC236}">
              <a16:creationId xmlns:a16="http://schemas.microsoft.com/office/drawing/2014/main" id="{0BCB4122-EBF9-49A1-9750-A2A948145B4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1.xml><?xml version="1.0" encoding="utf-8"?>
<xdr:wsDr xmlns:xdr="http://schemas.openxmlformats.org/drawingml/2006/spreadsheetDrawing" xmlns:a="http://schemas.openxmlformats.org/drawingml/2006/main">
  <xdr:twoCellAnchor>
    <xdr:from>
      <xdr:col>2</xdr:col>
      <xdr:colOff>519392</xdr:colOff>
      <xdr:row>17</xdr:row>
      <xdr:rowOff>22412</xdr:rowOff>
    </xdr:from>
    <xdr:to>
      <xdr:col>10</xdr:col>
      <xdr:colOff>324970</xdr:colOff>
      <xdr:row>35</xdr:row>
      <xdr:rowOff>0</xdr:rowOff>
    </xdr:to>
    <xdr:graphicFrame macro="">
      <xdr:nvGraphicFramePr>
        <xdr:cNvPr id="2" name="Chart 1">
          <a:extLst>
            <a:ext uri="{FF2B5EF4-FFF2-40B4-BE49-F238E27FC236}">
              <a16:creationId xmlns:a16="http://schemas.microsoft.com/office/drawing/2014/main" id="{D0AC2ED7-5E39-46B1-B343-1BAD1438D38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2.xml><?xml version="1.0" encoding="utf-8"?>
<xdr:wsDr xmlns:xdr="http://schemas.openxmlformats.org/drawingml/2006/spreadsheetDrawing" xmlns:a="http://schemas.openxmlformats.org/drawingml/2006/main">
  <xdr:twoCellAnchor>
    <xdr:from>
      <xdr:col>1</xdr:col>
      <xdr:colOff>95250</xdr:colOff>
      <xdr:row>19</xdr:row>
      <xdr:rowOff>0</xdr:rowOff>
    </xdr:from>
    <xdr:to>
      <xdr:col>13</xdr:col>
      <xdr:colOff>762000</xdr:colOff>
      <xdr:row>39</xdr:row>
      <xdr:rowOff>1162050</xdr:rowOff>
    </xdr:to>
    <xdr:graphicFrame macro="">
      <xdr:nvGraphicFramePr>
        <xdr:cNvPr id="2" name="Chart 1">
          <a:extLst>
            <a:ext uri="{FF2B5EF4-FFF2-40B4-BE49-F238E27FC236}">
              <a16:creationId xmlns:a16="http://schemas.microsoft.com/office/drawing/2014/main" id="{51C29A77-AF36-4164-A191-0848AEF09F2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13.xml><?xml version="1.0" encoding="utf-8"?>
<xdr:wsDr xmlns:xdr="http://schemas.openxmlformats.org/drawingml/2006/spreadsheetDrawing" xmlns:a="http://schemas.openxmlformats.org/drawingml/2006/main">
  <xdr:twoCellAnchor>
    <xdr:from>
      <xdr:col>1</xdr:col>
      <xdr:colOff>1</xdr:colOff>
      <xdr:row>18</xdr:row>
      <xdr:rowOff>299357</xdr:rowOff>
    </xdr:from>
    <xdr:to>
      <xdr:col>6</xdr:col>
      <xdr:colOff>517070</xdr:colOff>
      <xdr:row>64</xdr:row>
      <xdr:rowOff>186419</xdr:rowOff>
    </xdr:to>
    <xdr:graphicFrame macro="">
      <xdr:nvGraphicFramePr>
        <xdr:cNvPr id="2" name="Chart 1">
          <a:extLst>
            <a:ext uri="{FF2B5EF4-FFF2-40B4-BE49-F238E27FC236}">
              <a16:creationId xmlns:a16="http://schemas.microsoft.com/office/drawing/2014/main" id="{2BB221EA-DBE4-49FF-B7FF-0A1E2E05EB5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6</xdr:col>
      <xdr:colOff>625929</xdr:colOff>
      <xdr:row>18</xdr:row>
      <xdr:rowOff>272143</xdr:rowOff>
    </xdr:from>
    <xdr:to>
      <xdr:col>16</xdr:col>
      <xdr:colOff>1592036</xdr:colOff>
      <xdr:row>64</xdr:row>
      <xdr:rowOff>136070</xdr:rowOff>
    </xdr:to>
    <xdr:graphicFrame macro="">
      <xdr:nvGraphicFramePr>
        <xdr:cNvPr id="3" name="Chart 2">
          <a:extLst>
            <a:ext uri="{FF2B5EF4-FFF2-40B4-BE49-F238E27FC236}">
              <a16:creationId xmlns:a16="http://schemas.microsoft.com/office/drawing/2014/main" id="{DB5ECCB5-46EF-4ABD-B86B-4A30418D0AA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4.xml><?xml version="1.0" encoding="utf-8"?>
<xdr:wsDr xmlns:xdr="http://schemas.openxmlformats.org/drawingml/2006/spreadsheetDrawing" xmlns:a="http://schemas.openxmlformats.org/drawingml/2006/main">
  <xdr:twoCellAnchor>
    <xdr:from>
      <xdr:col>3</xdr:col>
      <xdr:colOff>38100</xdr:colOff>
      <xdr:row>3</xdr:row>
      <xdr:rowOff>57150</xdr:rowOff>
    </xdr:from>
    <xdr:to>
      <xdr:col>17</xdr:col>
      <xdr:colOff>552450</xdr:colOff>
      <xdr:row>23</xdr:row>
      <xdr:rowOff>66675</xdr:rowOff>
    </xdr:to>
    <xdr:graphicFrame macro="">
      <xdr:nvGraphicFramePr>
        <xdr:cNvPr id="2" name="Chart 1">
          <a:extLst>
            <a:ext uri="{FF2B5EF4-FFF2-40B4-BE49-F238E27FC236}">
              <a16:creationId xmlns:a16="http://schemas.microsoft.com/office/drawing/2014/main" id="{CC948945-AC15-482B-A1CF-8AC2FC7E12A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47626</xdr:colOff>
      <xdr:row>23</xdr:row>
      <xdr:rowOff>123824</xdr:rowOff>
    </xdr:from>
    <xdr:to>
      <xdr:col>17</xdr:col>
      <xdr:colOff>552450</xdr:colOff>
      <xdr:row>44</xdr:row>
      <xdr:rowOff>19050</xdr:rowOff>
    </xdr:to>
    <xdr:graphicFrame macro="">
      <xdr:nvGraphicFramePr>
        <xdr:cNvPr id="3" name="Chart 2">
          <a:extLst>
            <a:ext uri="{FF2B5EF4-FFF2-40B4-BE49-F238E27FC236}">
              <a16:creationId xmlns:a16="http://schemas.microsoft.com/office/drawing/2014/main" id="{5B9D3AEA-3E70-4DF7-9D1D-4FF76AF2EA2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xdr:from>
      <xdr:col>4</xdr:col>
      <xdr:colOff>238126</xdr:colOff>
      <xdr:row>2</xdr:row>
      <xdr:rowOff>152400</xdr:rowOff>
    </xdr:from>
    <xdr:to>
      <xdr:col>14</xdr:col>
      <xdr:colOff>581025</xdr:colOff>
      <xdr:row>19</xdr:row>
      <xdr:rowOff>23811</xdr:rowOff>
    </xdr:to>
    <xdr:graphicFrame macro="">
      <xdr:nvGraphicFramePr>
        <xdr:cNvPr id="2" name="Chart 1">
          <a:extLst>
            <a:ext uri="{FF2B5EF4-FFF2-40B4-BE49-F238E27FC236}">
              <a16:creationId xmlns:a16="http://schemas.microsoft.com/office/drawing/2014/main" id="{86FF810A-FC69-47B5-B458-832A64099D2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16</xdr:col>
      <xdr:colOff>273844</xdr:colOff>
      <xdr:row>1</xdr:row>
      <xdr:rowOff>95251</xdr:rowOff>
    </xdr:from>
    <xdr:to>
      <xdr:col>26</xdr:col>
      <xdr:colOff>638869</xdr:colOff>
      <xdr:row>17</xdr:row>
      <xdr:rowOff>75923</xdr:rowOff>
    </xdr:to>
    <xdr:pic>
      <xdr:nvPicPr>
        <xdr:cNvPr id="3" name="Picture 2">
          <a:extLst>
            <a:ext uri="{FF2B5EF4-FFF2-40B4-BE49-F238E27FC236}">
              <a16:creationId xmlns:a16="http://schemas.microsoft.com/office/drawing/2014/main" id="{E68C5BF4-963E-A7D3-0751-5EE5E27843C9}"/>
            </a:ext>
          </a:extLst>
        </xdr:cNvPr>
        <xdr:cNvPicPr>
          <a:picLocks noChangeAspect="1"/>
        </xdr:cNvPicPr>
      </xdr:nvPicPr>
      <xdr:blipFill>
        <a:blip xmlns:r="http://schemas.openxmlformats.org/officeDocument/2006/relationships" r:embed="rId2"/>
        <a:stretch>
          <a:fillRect/>
        </a:stretch>
      </xdr:blipFill>
      <xdr:spPr>
        <a:xfrm>
          <a:off x="11560969" y="297657"/>
          <a:ext cx="6913463" cy="449314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9</xdr:col>
      <xdr:colOff>392906</xdr:colOff>
      <xdr:row>216</xdr:row>
      <xdr:rowOff>142874</xdr:rowOff>
    </xdr:from>
    <xdr:to>
      <xdr:col>16</xdr:col>
      <xdr:colOff>59531</xdr:colOff>
      <xdr:row>232</xdr:row>
      <xdr:rowOff>23811</xdr:rowOff>
    </xdr:to>
    <xdr:graphicFrame macro="">
      <xdr:nvGraphicFramePr>
        <xdr:cNvPr id="2" name="Chart 1">
          <a:extLst>
            <a:ext uri="{FF2B5EF4-FFF2-40B4-BE49-F238E27FC236}">
              <a16:creationId xmlns:a16="http://schemas.microsoft.com/office/drawing/2014/main" id="{13DF7AB7-88E9-4895-868A-D811849FE2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xdr:col>
      <xdr:colOff>595311</xdr:colOff>
      <xdr:row>216</xdr:row>
      <xdr:rowOff>130968</xdr:rowOff>
    </xdr:from>
    <xdr:to>
      <xdr:col>8</xdr:col>
      <xdr:colOff>666749</xdr:colOff>
      <xdr:row>232</xdr:row>
      <xdr:rowOff>83343</xdr:rowOff>
    </xdr:to>
    <xdr:graphicFrame macro="">
      <xdr:nvGraphicFramePr>
        <xdr:cNvPr id="3" name="Chart 2">
          <a:extLst>
            <a:ext uri="{FF2B5EF4-FFF2-40B4-BE49-F238E27FC236}">
              <a16:creationId xmlns:a16="http://schemas.microsoft.com/office/drawing/2014/main" id="{C72590B8-CC3B-41FB-AF50-AE4F63DA36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9</xdr:col>
      <xdr:colOff>666751</xdr:colOff>
      <xdr:row>142</xdr:row>
      <xdr:rowOff>202406</xdr:rowOff>
    </xdr:from>
    <xdr:to>
      <xdr:col>16</xdr:col>
      <xdr:colOff>297656</xdr:colOff>
      <xdr:row>161</xdr:row>
      <xdr:rowOff>142874</xdr:rowOff>
    </xdr:to>
    <xdr:graphicFrame macro="">
      <xdr:nvGraphicFramePr>
        <xdr:cNvPr id="4" name="Chart 3">
          <a:extLst>
            <a:ext uri="{FF2B5EF4-FFF2-40B4-BE49-F238E27FC236}">
              <a16:creationId xmlns:a16="http://schemas.microsoft.com/office/drawing/2014/main" id="{3C3F43FB-CBCC-470B-88B3-1BB82720F63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1</xdr:col>
      <xdr:colOff>571499</xdr:colOff>
      <xdr:row>142</xdr:row>
      <xdr:rowOff>202407</xdr:rowOff>
    </xdr:from>
    <xdr:to>
      <xdr:col>8</xdr:col>
      <xdr:colOff>642937</xdr:colOff>
      <xdr:row>161</xdr:row>
      <xdr:rowOff>119062</xdr:rowOff>
    </xdr:to>
    <xdr:graphicFrame macro="">
      <xdr:nvGraphicFramePr>
        <xdr:cNvPr id="5" name="Chart 4">
          <a:extLst>
            <a:ext uri="{FF2B5EF4-FFF2-40B4-BE49-F238E27FC236}">
              <a16:creationId xmlns:a16="http://schemas.microsoft.com/office/drawing/2014/main" id="{38C982D2-D60A-473F-A149-6FDEDD7FB11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9</xdr:col>
      <xdr:colOff>559594</xdr:colOff>
      <xdr:row>96</xdr:row>
      <xdr:rowOff>11906</xdr:rowOff>
    </xdr:from>
    <xdr:to>
      <xdr:col>16</xdr:col>
      <xdr:colOff>702469</xdr:colOff>
      <xdr:row>107</xdr:row>
      <xdr:rowOff>232559</xdr:rowOff>
    </xdr:to>
    <xdr:graphicFrame macro="">
      <xdr:nvGraphicFramePr>
        <xdr:cNvPr id="6" name="Chart 5">
          <a:extLst>
            <a:ext uri="{FF2B5EF4-FFF2-40B4-BE49-F238E27FC236}">
              <a16:creationId xmlns:a16="http://schemas.microsoft.com/office/drawing/2014/main" id="{70CD1D81-200F-4696-8CC0-3124023CD30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345280</xdr:colOff>
      <xdr:row>96</xdr:row>
      <xdr:rowOff>0</xdr:rowOff>
    </xdr:from>
    <xdr:to>
      <xdr:col>8</xdr:col>
      <xdr:colOff>428625</xdr:colOff>
      <xdr:row>107</xdr:row>
      <xdr:rowOff>238125</xdr:rowOff>
    </xdr:to>
    <xdr:graphicFrame macro="">
      <xdr:nvGraphicFramePr>
        <xdr:cNvPr id="7" name="Chart 6">
          <a:extLst>
            <a:ext uri="{FF2B5EF4-FFF2-40B4-BE49-F238E27FC236}">
              <a16:creationId xmlns:a16="http://schemas.microsoft.com/office/drawing/2014/main" id="{B4D6D969-C3ED-468D-8B82-8541C5459CC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9</xdr:col>
      <xdr:colOff>678656</xdr:colOff>
      <xdr:row>73</xdr:row>
      <xdr:rowOff>47624</xdr:rowOff>
    </xdr:from>
    <xdr:to>
      <xdr:col>16</xdr:col>
      <xdr:colOff>309562</xdr:colOff>
      <xdr:row>89</xdr:row>
      <xdr:rowOff>35718</xdr:rowOff>
    </xdr:to>
    <xdr:graphicFrame macro="">
      <xdr:nvGraphicFramePr>
        <xdr:cNvPr id="8" name="Chart 7">
          <a:extLst>
            <a:ext uri="{FF2B5EF4-FFF2-40B4-BE49-F238E27FC236}">
              <a16:creationId xmlns:a16="http://schemas.microsoft.com/office/drawing/2014/main" id="{8762208A-0C0A-46DB-9993-832666FF2F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2</xdr:col>
      <xdr:colOff>83344</xdr:colOff>
      <xdr:row>73</xdr:row>
      <xdr:rowOff>23812</xdr:rowOff>
    </xdr:from>
    <xdr:to>
      <xdr:col>9</xdr:col>
      <xdr:colOff>47625</xdr:colOff>
      <xdr:row>89</xdr:row>
      <xdr:rowOff>35718</xdr:rowOff>
    </xdr:to>
    <xdr:graphicFrame macro="">
      <xdr:nvGraphicFramePr>
        <xdr:cNvPr id="9" name="Chart 8">
          <a:extLst>
            <a:ext uri="{FF2B5EF4-FFF2-40B4-BE49-F238E27FC236}">
              <a16:creationId xmlns:a16="http://schemas.microsoft.com/office/drawing/2014/main" id="{49523685-7B23-40CF-92E4-8FD037EF873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9</xdr:col>
      <xdr:colOff>714375</xdr:colOff>
      <xdr:row>60</xdr:row>
      <xdr:rowOff>238126</xdr:rowOff>
    </xdr:from>
    <xdr:to>
      <xdr:col>16</xdr:col>
      <xdr:colOff>130969</xdr:colOff>
      <xdr:row>71</xdr:row>
      <xdr:rowOff>250032</xdr:rowOff>
    </xdr:to>
    <xdr:graphicFrame macro="">
      <xdr:nvGraphicFramePr>
        <xdr:cNvPr id="10" name="Chart 9">
          <a:extLst>
            <a:ext uri="{FF2B5EF4-FFF2-40B4-BE49-F238E27FC236}">
              <a16:creationId xmlns:a16="http://schemas.microsoft.com/office/drawing/2014/main" id="{166121AA-ABCE-4288-A058-1201D4FD3C4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2</xdr:col>
      <xdr:colOff>107155</xdr:colOff>
      <xdr:row>61</xdr:row>
      <xdr:rowOff>11906</xdr:rowOff>
    </xdr:from>
    <xdr:to>
      <xdr:col>8</xdr:col>
      <xdr:colOff>595312</xdr:colOff>
      <xdr:row>72</xdr:row>
      <xdr:rowOff>35719</xdr:rowOff>
    </xdr:to>
    <xdr:graphicFrame macro="">
      <xdr:nvGraphicFramePr>
        <xdr:cNvPr id="11" name="Chart 10">
          <a:extLst>
            <a:ext uri="{FF2B5EF4-FFF2-40B4-BE49-F238E27FC236}">
              <a16:creationId xmlns:a16="http://schemas.microsoft.com/office/drawing/2014/main" id="{B94A29C7-FC95-4142-9AF1-2F7DE03414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9</xdr:col>
      <xdr:colOff>738187</xdr:colOff>
      <xdr:row>37</xdr:row>
      <xdr:rowOff>59530</xdr:rowOff>
    </xdr:from>
    <xdr:to>
      <xdr:col>15</xdr:col>
      <xdr:colOff>476248</xdr:colOff>
      <xdr:row>54</xdr:row>
      <xdr:rowOff>0</xdr:rowOff>
    </xdr:to>
    <xdr:graphicFrame macro="">
      <xdr:nvGraphicFramePr>
        <xdr:cNvPr id="12" name="Chart 11">
          <a:extLst>
            <a:ext uri="{FF2B5EF4-FFF2-40B4-BE49-F238E27FC236}">
              <a16:creationId xmlns:a16="http://schemas.microsoft.com/office/drawing/2014/main" id="{97969ED7-D3A0-401A-B813-AC6F601A9E4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2</xdr:col>
      <xdr:colOff>547688</xdr:colOff>
      <xdr:row>37</xdr:row>
      <xdr:rowOff>71437</xdr:rowOff>
    </xdr:from>
    <xdr:to>
      <xdr:col>9</xdr:col>
      <xdr:colOff>273843</xdr:colOff>
      <xdr:row>53</xdr:row>
      <xdr:rowOff>190499</xdr:rowOff>
    </xdr:to>
    <xdr:graphicFrame macro="">
      <xdr:nvGraphicFramePr>
        <xdr:cNvPr id="13" name="Chart 12">
          <a:extLst>
            <a:ext uri="{FF2B5EF4-FFF2-40B4-BE49-F238E27FC236}">
              <a16:creationId xmlns:a16="http://schemas.microsoft.com/office/drawing/2014/main" id="{2F19E62F-6CCF-4FC5-8BF5-3DE15377341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10</xdr:col>
      <xdr:colOff>23812</xdr:colOff>
      <xdr:row>26</xdr:row>
      <xdr:rowOff>191200</xdr:rowOff>
    </xdr:from>
    <xdr:to>
      <xdr:col>15</xdr:col>
      <xdr:colOff>309562</xdr:colOff>
      <xdr:row>37</xdr:row>
      <xdr:rowOff>17204</xdr:rowOff>
    </xdr:to>
    <xdr:graphicFrame macro="">
      <xdr:nvGraphicFramePr>
        <xdr:cNvPr id="14" name="Chart 13">
          <a:extLst>
            <a:ext uri="{FF2B5EF4-FFF2-40B4-BE49-F238E27FC236}">
              <a16:creationId xmlns:a16="http://schemas.microsoft.com/office/drawing/2014/main" id="{52BA4AB7-72DB-42B3-B953-21103F7158E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3</xdr:col>
      <xdr:colOff>11906</xdr:colOff>
      <xdr:row>26</xdr:row>
      <xdr:rowOff>238124</xdr:rowOff>
    </xdr:from>
    <xdr:to>
      <xdr:col>8</xdr:col>
      <xdr:colOff>666750</xdr:colOff>
      <xdr:row>36</xdr:row>
      <xdr:rowOff>261936</xdr:rowOff>
    </xdr:to>
    <xdr:graphicFrame macro="">
      <xdr:nvGraphicFramePr>
        <xdr:cNvPr id="15" name="Chart 14">
          <a:extLst>
            <a:ext uri="{FF2B5EF4-FFF2-40B4-BE49-F238E27FC236}">
              <a16:creationId xmlns:a16="http://schemas.microsoft.com/office/drawing/2014/main" id="{FC00E9E0-2D34-43F2-B511-CF2747D2CAB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9</xdr:col>
      <xdr:colOff>427264</xdr:colOff>
      <xdr:row>26</xdr:row>
      <xdr:rowOff>114299</xdr:rowOff>
    </xdr:from>
    <xdr:to>
      <xdr:col>9</xdr:col>
      <xdr:colOff>427264</xdr:colOff>
      <xdr:row>52</xdr:row>
      <xdr:rowOff>80009</xdr:rowOff>
    </xdr:to>
    <xdr:cxnSp macro="">
      <xdr:nvCxnSpPr>
        <xdr:cNvPr id="16" name="Straight Connector 15">
          <a:extLst>
            <a:ext uri="{FF2B5EF4-FFF2-40B4-BE49-F238E27FC236}">
              <a16:creationId xmlns:a16="http://schemas.microsoft.com/office/drawing/2014/main" id="{B2B93EA9-A30A-45EB-80C5-552E17A668E8}"/>
            </a:ext>
          </a:extLst>
        </xdr:cNvPr>
        <xdr:cNvCxnSpPr/>
      </xdr:nvCxnSpPr>
      <xdr:spPr>
        <a:xfrm>
          <a:off x="5570764" y="1857374"/>
          <a:ext cx="0" cy="6652260"/>
        </a:xfrm>
        <a:prstGeom prst="line">
          <a:avLst/>
        </a:prstGeom>
        <a:ln w="19050">
          <a:solidFill>
            <a:srgbClr val="002060"/>
          </a:solidFill>
          <a:prstDash val="solid"/>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359390</xdr:colOff>
      <xdr:row>61</xdr:row>
      <xdr:rowOff>68036</xdr:rowOff>
    </xdr:from>
    <xdr:to>
      <xdr:col>9</xdr:col>
      <xdr:colOff>359390</xdr:colOff>
      <xdr:row>90</xdr:row>
      <xdr:rowOff>149679</xdr:rowOff>
    </xdr:to>
    <xdr:cxnSp macro="">
      <xdr:nvCxnSpPr>
        <xdr:cNvPr id="17" name="Straight Connector 16">
          <a:extLst>
            <a:ext uri="{FF2B5EF4-FFF2-40B4-BE49-F238E27FC236}">
              <a16:creationId xmlns:a16="http://schemas.microsoft.com/office/drawing/2014/main" id="{C1C73CF4-0CE6-498F-89E9-D80D8F87C0E0}"/>
            </a:ext>
          </a:extLst>
        </xdr:cNvPr>
        <xdr:cNvCxnSpPr/>
      </xdr:nvCxnSpPr>
      <xdr:spPr>
        <a:xfrm>
          <a:off x="5502890" y="10812236"/>
          <a:ext cx="0" cy="7301593"/>
        </a:xfrm>
        <a:prstGeom prst="line">
          <a:avLst/>
        </a:prstGeom>
        <a:ln w="19050">
          <a:solidFill>
            <a:srgbClr val="00206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190500</xdr:colOff>
      <xdr:row>96</xdr:row>
      <xdr:rowOff>54429</xdr:rowOff>
    </xdr:from>
    <xdr:to>
      <xdr:col>9</xdr:col>
      <xdr:colOff>190500</xdr:colOff>
      <xdr:row>114</xdr:row>
      <xdr:rowOff>149679</xdr:rowOff>
    </xdr:to>
    <xdr:cxnSp macro="">
      <xdr:nvCxnSpPr>
        <xdr:cNvPr id="18" name="Straight Connector 17">
          <a:extLst>
            <a:ext uri="{FF2B5EF4-FFF2-40B4-BE49-F238E27FC236}">
              <a16:creationId xmlns:a16="http://schemas.microsoft.com/office/drawing/2014/main" id="{ED15DE1F-F16B-4153-B59C-8135687EAD2D}"/>
            </a:ext>
          </a:extLst>
        </xdr:cNvPr>
        <xdr:cNvCxnSpPr/>
      </xdr:nvCxnSpPr>
      <xdr:spPr>
        <a:xfrm>
          <a:off x="5334000" y="19561629"/>
          <a:ext cx="0" cy="4724400"/>
        </a:xfrm>
        <a:prstGeom prst="line">
          <a:avLst/>
        </a:prstGeom>
        <a:ln w="19050">
          <a:solidFill>
            <a:srgbClr val="00206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285751</xdr:colOff>
      <xdr:row>141</xdr:row>
      <xdr:rowOff>176893</xdr:rowOff>
    </xdr:from>
    <xdr:to>
      <xdr:col>9</xdr:col>
      <xdr:colOff>285751</xdr:colOff>
      <xdr:row>162</xdr:row>
      <xdr:rowOff>122465</xdr:rowOff>
    </xdr:to>
    <xdr:cxnSp macro="">
      <xdr:nvCxnSpPr>
        <xdr:cNvPr id="19" name="Straight Connector 18">
          <a:extLst>
            <a:ext uri="{FF2B5EF4-FFF2-40B4-BE49-F238E27FC236}">
              <a16:creationId xmlns:a16="http://schemas.microsoft.com/office/drawing/2014/main" id="{82FFEFC3-97C4-4F70-ADCD-6A118BF1A4B1}"/>
            </a:ext>
          </a:extLst>
        </xdr:cNvPr>
        <xdr:cNvCxnSpPr/>
      </xdr:nvCxnSpPr>
      <xdr:spPr>
        <a:xfrm flipH="1">
          <a:off x="5429251" y="31256968"/>
          <a:ext cx="0" cy="5346247"/>
        </a:xfrm>
        <a:prstGeom prst="line">
          <a:avLst/>
        </a:prstGeom>
        <a:ln w="19050">
          <a:solidFill>
            <a:srgbClr val="00206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436228</xdr:colOff>
      <xdr:row>167</xdr:row>
      <xdr:rowOff>54428</xdr:rowOff>
    </xdr:from>
    <xdr:to>
      <xdr:col>9</xdr:col>
      <xdr:colOff>436228</xdr:colOff>
      <xdr:row>190</xdr:row>
      <xdr:rowOff>27214</xdr:rowOff>
    </xdr:to>
    <xdr:cxnSp macro="">
      <xdr:nvCxnSpPr>
        <xdr:cNvPr id="20" name="Straight Connector 19">
          <a:extLst>
            <a:ext uri="{FF2B5EF4-FFF2-40B4-BE49-F238E27FC236}">
              <a16:creationId xmlns:a16="http://schemas.microsoft.com/office/drawing/2014/main" id="{336D85B9-66A6-44E7-90E1-202492477371}"/>
            </a:ext>
          </a:extLst>
        </xdr:cNvPr>
        <xdr:cNvCxnSpPr/>
      </xdr:nvCxnSpPr>
      <xdr:spPr>
        <a:xfrm>
          <a:off x="5579728" y="37821053"/>
          <a:ext cx="0" cy="5887811"/>
        </a:xfrm>
        <a:prstGeom prst="line">
          <a:avLst/>
        </a:prstGeom>
        <a:ln w="19050">
          <a:solidFill>
            <a:srgbClr val="00206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18</xdr:col>
      <xdr:colOff>1143000</xdr:colOff>
      <xdr:row>26</xdr:row>
      <xdr:rowOff>166687</xdr:rowOff>
    </xdr:from>
    <xdr:to>
      <xdr:col>27</xdr:col>
      <xdr:colOff>137433</xdr:colOff>
      <xdr:row>38</xdr:row>
      <xdr:rowOff>59531</xdr:rowOff>
    </xdr:to>
    <xdr:graphicFrame macro="">
      <xdr:nvGraphicFramePr>
        <xdr:cNvPr id="21" name="Chart 20">
          <a:extLst>
            <a:ext uri="{FF2B5EF4-FFF2-40B4-BE49-F238E27FC236}">
              <a16:creationId xmlns:a16="http://schemas.microsoft.com/office/drawing/2014/main" id="{555E8FFD-901B-4096-9822-BC8FF44B208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20</xdr:col>
      <xdr:colOff>164855</xdr:colOff>
      <xdr:row>198</xdr:row>
      <xdr:rowOff>82794</xdr:rowOff>
    </xdr:from>
    <xdr:to>
      <xdr:col>27</xdr:col>
      <xdr:colOff>238125</xdr:colOff>
      <xdr:row>212</xdr:row>
      <xdr:rowOff>158994</xdr:rowOff>
    </xdr:to>
    <xdr:graphicFrame macro="">
      <xdr:nvGraphicFramePr>
        <xdr:cNvPr id="22" name="Chart 21">
          <a:extLst>
            <a:ext uri="{FF2B5EF4-FFF2-40B4-BE49-F238E27FC236}">
              <a16:creationId xmlns:a16="http://schemas.microsoft.com/office/drawing/2014/main" id="{8334E8BC-CF11-47C5-80AB-723CC20D043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20</xdr:col>
      <xdr:colOff>164855</xdr:colOff>
      <xdr:row>198</xdr:row>
      <xdr:rowOff>82794</xdr:rowOff>
    </xdr:from>
    <xdr:to>
      <xdr:col>27</xdr:col>
      <xdr:colOff>238125</xdr:colOff>
      <xdr:row>212</xdr:row>
      <xdr:rowOff>158994</xdr:rowOff>
    </xdr:to>
    <xdr:graphicFrame macro="">
      <xdr:nvGraphicFramePr>
        <xdr:cNvPr id="23" name="Chart 22">
          <a:extLst>
            <a:ext uri="{FF2B5EF4-FFF2-40B4-BE49-F238E27FC236}">
              <a16:creationId xmlns:a16="http://schemas.microsoft.com/office/drawing/2014/main" id="{E31FF9C6-A248-458A-AF91-62C7D9840BA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12</xdr:col>
      <xdr:colOff>551093</xdr:colOff>
      <xdr:row>64</xdr:row>
      <xdr:rowOff>196369</xdr:rowOff>
    </xdr:from>
    <xdr:to>
      <xdr:col>16</xdr:col>
      <xdr:colOff>701419</xdr:colOff>
      <xdr:row>76</xdr:row>
      <xdr:rowOff>33492</xdr:rowOff>
    </xdr:to>
    <xdr:grpSp>
      <xdr:nvGrpSpPr>
        <xdr:cNvPr id="24" name="Group 23">
          <a:extLst>
            <a:ext uri="{FF2B5EF4-FFF2-40B4-BE49-F238E27FC236}">
              <a16:creationId xmlns:a16="http://schemas.microsoft.com/office/drawing/2014/main" id="{DF808891-66DF-4DB6-8743-E67A91C19181}"/>
            </a:ext>
          </a:extLst>
        </xdr:cNvPr>
        <xdr:cNvGrpSpPr/>
      </xdr:nvGrpSpPr>
      <xdr:grpSpPr>
        <a:xfrm>
          <a:off x="7830914" y="11517512"/>
          <a:ext cx="2871755" cy="2939551"/>
          <a:chOff x="7674431" y="8136136"/>
          <a:chExt cx="2762898" cy="2194560"/>
        </a:xfrm>
      </xdr:grpSpPr>
      <xdr:cxnSp macro="">
        <xdr:nvCxnSpPr>
          <xdr:cNvPr id="25" name="Straight Connector 24">
            <a:extLst>
              <a:ext uri="{FF2B5EF4-FFF2-40B4-BE49-F238E27FC236}">
                <a16:creationId xmlns:a16="http://schemas.microsoft.com/office/drawing/2014/main" id="{8BEB70DA-5334-4634-1795-7D9C53997103}"/>
              </a:ext>
            </a:extLst>
          </xdr:cNvPr>
          <xdr:cNvCxnSpPr/>
        </xdr:nvCxnSpPr>
        <xdr:spPr>
          <a:xfrm>
            <a:off x="10405239" y="8136136"/>
            <a:ext cx="0" cy="2194560"/>
          </a:xfrm>
          <a:prstGeom prst="line">
            <a:avLst/>
          </a:prstGeom>
          <a:ln w="57150">
            <a:solidFill>
              <a:srgbClr val="002060"/>
            </a:solidFill>
          </a:ln>
        </xdr:spPr>
        <xdr:style>
          <a:lnRef idx="1">
            <a:schemeClr val="accent1"/>
          </a:lnRef>
          <a:fillRef idx="0">
            <a:schemeClr val="accent1"/>
          </a:fillRef>
          <a:effectRef idx="0">
            <a:schemeClr val="accent1"/>
          </a:effectRef>
          <a:fontRef idx="minor">
            <a:schemeClr val="tx1"/>
          </a:fontRef>
        </xdr:style>
      </xdr:cxnSp>
      <xdr:cxnSp macro="">
        <xdr:nvCxnSpPr>
          <xdr:cNvPr id="26" name="Straight Arrow Connector 25">
            <a:extLst>
              <a:ext uri="{FF2B5EF4-FFF2-40B4-BE49-F238E27FC236}">
                <a16:creationId xmlns:a16="http://schemas.microsoft.com/office/drawing/2014/main" id="{4FA2B7F7-9CF6-6B8E-646A-D8E18454BF5E}"/>
              </a:ext>
            </a:extLst>
          </xdr:cNvPr>
          <xdr:cNvCxnSpPr/>
        </xdr:nvCxnSpPr>
        <xdr:spPr>
          <a:xfrm flipH="1">
            <a:off x="9980129" y="10299194"/>
            <a:ext cx="457200" cy="6569"/>
          </a:xfrm>
          <a:prstGeom prst="straightConnector1">
            <a:avLst/>
          </a:prstGeom>
          <a:ln w="57150">
            <a:solidFill>
              <a:srgbClr val="00206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27" name="Straight Connector 26">
            <a:extLst>
              <a:ext uri="{FF2B5EF4-FFF2-40B4-BE49-F238E27FC236}">
                <a16:creationId xmlns:a16="http://schemas.microsoft.com/office/drawing/2014/main" id="{806129A5-0B9E-770D-831A-E10DBE06E1E5}"/>
              </a:ext>
            </a:extLst>
          </xdr:cNvPr>
          <xdr:cNvCxnSpPr/>
        </xdr:nvCxnSpPr>
        <xdr:spPr>
          <a:xfrm flipH="1" flipV="1">
            <a:off x="7674431" y="8164286"/>
            <a:ext cx="2743200" cy="0"/>
          </a:xfrm>
          <a:prstGeom prst="line">
            <a:avLst/>
          </a:prstGeom>
          <a:ln w="57150">
            <a:solidFill>
              <a:srgbClr val="002060"/>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1</xdr:col>
      <xdr:colOff>488154</xdr:colOff>
      <xdr:row>66</xdr:row>
      <xdr:rowOff>212910</xdr:rowOff>
    </xdr:from>
    <xdr:to>
      <xdr:col>4</xdr:col>
      <xdr:colOff>285750</xdr:colOff>
      <xdr:row>77</xdr:row>
      <xdr:rowOff>194007</xdr:rowOff>
    </xdr:to>
    <xdr:grpSp>
      <xdr:nvGrpSpPr>
        <xdr:cNvPr id="28" name="Group 27">
          <a:extLst>
            <a:ext uri="{FF2B5EF4-FFF2-40B4-BE49-F238E27FC236}">
              <a16:creationId xmlns:a16="http://schemas.microsoft.com/office/drawing/2014/main" id="{0DF69365-3A5D-46BE-A030-E719BF7C90A1}"/>
            </a:ext>
          </a:extLst>
        </xdr:cNvPr>
        <xdr:cNvGrpSpPr/>
      </xdr:nvGrpSpPr>
      <xdr:grpSpPr>
        <a:xfrm>
          <a:off x="515368" y="12051124"/>
          <a:ext cx="1321596" cy="2824990"/>
          <a:chOff x="1631159" y="8159127"/>
          <a:chExt cx="2377440" cy="2103120"/>
        </a:xfrm>
      </xdr:grpSpPr>
      <xdr:cxnSp macro="">
        <xdr:nvCxnSpPr>
          <xdr:cNvPr id="29" name="Straight Connector 28">
            <a:extLst>
              <a:ext uri="{FF2B5EF4-FFF2-40B4-BE49-F238E27FC236}">
                <a16:creationId xmlns:a16="http://schemas.microsoft.com/office/drawing/2014/main" id="{C5B0A660-E756-FA6C-9396-108B6FEBD6AD}"/>
              </a:ext>
            </a:extLst>
          </xdr:cNvPr>
          <xdr:cNvCxnSpPr/>
        </xdr:nvCxnSpPr>
        <xdr:spPr>
          <a:xfrm>
            <a:off x="1653507" y="8159127"/>
            <a:ext cx="0" cy="2103120"/>
          </a:xfrm>
          <a:prstGeom prst="line">
            <a:avLst/>
          </a:prstGeom>
          <a:ln w="57150">
            <a:solidFill>
              <a:srgbClr val="002060"/>
            </a:solidFill>
          </a:ln>
        </xdr:spPr>
        <xdr:style>
          <a:lnRef idx="1">
            <a:schemeClr val="accent1"/>
          </a:lnRef>
          <a:fillRef idx="0">
            <a:schemeClr val="accent1"/>
          </a:fillRef>
          <a:effectRef idx="0">
            <a:schemeClr val="accent1"/>
          </a:effectRef>
          <a:fontRef idx="minor">
            <a:schemeClr val="tx1"/>
          </a:fontRef>
        </xdr:style>
      </xdr:cxnSp>
      <xdr:cxnSp macro="">
        <xdr:nvCxnSpPr>
          <xdr:cNvPr id="30" name="Straight Arrow Connector 29">
            <a:extLst>
              <a:ext uri="{FF2B5EF4-FFF2-40B4-BE49-F238E27FC236}">
                <a16:creationId xmlns:a16="http://schemas.microsoft.com/office/drawing/2014/main" id="{33758340-A030-FDC7-C16D-8E4303933A90}"/>
              </a:ext>
            </a:extLst>
          </xdr:cNvPr>
          <xdr:cNvCxnSpPr/>
        </xdr:nvCxnSpPr>
        <xdr:spPr>
          <a:xfrm flipV="1">
            <a:off x="1632855" y="10250427"/>
            <a:ext cx="548640" cy="5132"/>
          </a:xfrm>
          <a:prstGeom prst="straightConnector1">
            <a:avLst/>
          </a:prstGeom>
          <a:ln w="57150">
            <a:solidFill>
              <a:srgbClr val="00206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31" name="Straight Connector 30">
            <a:extLst>
              <a:ext uri="{FF2B5EF4-FFF2-40B4-BE49-F238E27FC236}">
                <a16:creationId xmlns:a16="http://schemas.microsoft.com/office/drawing/2014/main" id="{05A2CE05-C357-5ACC-34AB-2080132D9C0F}"/>
              </a:ext>
            </a:extLst>
          </xdr:cNvPr>
          <xdr:cNvCxnSpPr/>
        </xdr:nvCxnSpPr>
        <xdr:spPr>
          <a:xfrm flipH="1">
            <a:off x="1631159" y="8177893"/>
            <a:ext cx="2377440" cy="0"/>
          </a:xfrm>
          <a:prstGeom prst="line">
            <a:avLst/>
          </a:prstGeom>
          <a:ln w="57150">
            <a:solidFill>
              <a:srgbClr val="002060"/>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2</xdr:col>
      <xdr:colOff>547687</xdr:colOff>
      <xdr:row>37</xdr:row>
      <xdr:rowOff>71437</xdr:rowOff>
    </xdr:from>
    <xdr:to>
      <xdr:col>9</xdr:col>
      <xdr:colOff>282907</xdr:colOff>
      <xdr:row>53</xdr:row>
      <xdr:rowOff>214312</xdr:rowOff>
    </xdr:to>
    <xdr:pic>
      <xdr:nvPicPr>
        <xdr:cNvPr id="32" name="Picture 31">
          <a:extLst>
            <a:ext uri="{FF2B5EF4-FFF2-40B4-BE49-F238E27FC236}">
              <a16:creationId xmlns:a16="http://schemas.microsoft.com/office/drawing/2014/main" id="{3C1DE245-F3D1-4C6F-8F80-421346676F89}"/>
            </a:ext>
          </a:extLst>
        </xdr:cNvPr>
        <xdr:cNvPicPr>
          <a:picLocks noChangeAspect="1"/>
        </xdr:cNvPicPr>
      </xdr:nvPicPr>
      <xdr:blipFill>
        <a:blip xmlns:r="http://schemas.openxmlformats.org/officeDocument/2006/relationships" r:embed="rId18"/>
        <a:stretch>
          <a:fillRect/>
        </a:stretch>
      </xdr:blipFill>
      <xdr:spPr>
        <a:xfrm>
          <a:off x="1214437" y="4643437"/>
          <a:ext cx="4211970" cy="4257675"/>
        </a:xfrm>
        <a:prstGeom prst="rect">
          <a:avLst/>
        </a:prstGeom>
      </xdr:spPr>
    </xdr:pic>
    <xdr:clientData/>
  </xdr:twoCellAnchor>
  <xdr:twoCellAnchor>
    <xdr:from>
      <xdr:col>12</xdr:col>
      <xdr:colOff>347382</xdr:colOff>
      <xdr:row>29</xdr:row>
      <xdr:rowOff>163287</xdr:rowOff>
    </xdr:from>
    <xdr:to>
      <xdr:col>16</xdr:col>
      <xdr:colOff>231971</xdr:colOff>
      <xdr:row>41</xdr:row>
      <xdr:rowOff>32376</xdr:rowOff>
    </xdr:to>
    <xdr:grpSp>
      <xdr:nvGrpSpPr>
        <xdr:cNvPr id="33" name="Group 32">
          <a:extLst>
            <a:ext uri="{FF2B5EF4-FFF2-40B4-BE49-F238E27FC236}">
              <a16:creationId xmlns:a16="http://schemas.microsoft.com/office/drawing/2014/main" id="{9255E756-BECD-4882-95E1-E9AE0ED919DC}"/>
            </a:ext>
          </a:extLst>
        </xdr:cNvPr>
        <xdr:cNvGrpSpPr/>
      </xdr:nvGrpSpPr>
      <xdr:grpSpPr>
        <a:xfrm>
          <a:off x="7627203" y="2680608"/>
          <a:ext cx="2606018" cy="2971518"/>
          <a:chOff x="8109856" y="8136136"/>
          <a:chExt cx="2327473" cy="1829452"/>
        </a:xfrm>
      </xdr:grpSpPr>
      <xdr:cxnSp macro="">
        <xdr:nvCxnSpPr>
          <xdr:cNvPr id="34" name="Straight Connector 33">
            <a:extLst>
              <a:ext uri="{FF2B5EF4-FFF2-40B4-BE49-F238E27FC236}">
                <a16:creationId xmlns:a16="http://schemas.microsoft.com/office/drawing/2014/main" id="{F8FB3271-2927-942E-6FA4-503DF464026E}"/>
              </a:ext>
            </a:extLst>
          </xdr:cNvPr>
          <xdr:cNvCxnSpPr/>
        </xdr:nvCxnSpPr>
        <xdr:spPr>
          <a:xfrm>
            <a:off x="10405239" y="8136136"/>
            <a:ext cx="0" cy="1828800"/>
          </a:xfrm>
          <a:prstGeom prst="line">
            <a:avLst/>
          </a:prstGeom>
          <a:ln w="57150">
            <a:solidFill>
              <a:srgbClr val="002060"/>
            </a:solidFill>
          </a:ln>
        </xdr:spPr>
        <xdr:style>
          <a:lnRef idx="1">
            <a:schemeClr val="accent1"/>
          </a:lnRef>
          <a:fillRef idx="0">
            <a:schemeClr val="accent1"/>
          </a:fillRef>
          <a:effectRef idx="0">
            <a:schemeClr val="accent1"/>
          </a:effectRef>
          <a:fontRef idx="minor">
            <a:schemeClr val="tx1"/>
          </a:fontRef>
        </xdr:style>
      </xdr:cxnSp>
      <xdr:cxnSp macro="">
        <xdr:nvCxnSpPr>
          <xdr:cNvPr id="35" name="Straight Arrow Connector 34">
            <a:extLst>
              <a:ext uri="{FF2B5EF4-FFF2-40B4-BE49-F238E27FC236}">
                <a16:creationId xmlns:a16="http://schemas.microsoft.com/office/drawing/2014/main" id="{382AF94A-6F2C-1E2C-277A-DC299076FDE7}"/>
              </a:ext>
            </a:extLst>
          </xdr:cNvPr>
          <xdr:cNvCxnSpPr/>
        </xdr:nvCxnSpPr>
        <xdr:spPr>
          <a:xfrm flipH="1">
            <a:off x="9980129" y="9959019"/>
            <a:ext cx="457200" cy="6569"/>
          </a:xfrm>
          <a:prstGeom prst="straightConnector1">
            <a:avLst/>
          </a:prstGeom>
          <a:ln w="57150">
            <a:solidFill>
              <a:srgbClr val="00206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36" name="Straight Connector 35">
            <a:extLst>
              <a:ext uri="{FF2B5EF4-FFF2-40B4-BE49-F238E27FC236}">
                <a16:creationId xmlns:a16="http://schemas.microsoft.com/office/drawing/2014/main" id="{4B55C3C3-CE60-1F7E-246B-66861AEA0877}"/>
              </a:ext>
            </a:extLst>
          </xdr:cNvPr>
          <xdr:cNvCxnSpPr/>
        </xdr:nvCxnSpPr>
        <xdr:spPr>
          <a:xfrm flipH="1" flipV="1">
            <a:off x="8109856" y="8164286"/>
            <a:ext cx="2286001" cy="0"/>
          </a:xfrm>
          <a:prstGeom prst="line">
            <a:avLst/>
          </a:prstGeom>
          <a:ln w="57150">
            <a:solidFill>
              <a:srgbClr val="002060"/>
            </a:solidFill>
          </a:ln>
        </xdr:spPr>
        <xdr:style>
          <a:lnRef idx="1">
            <a:schemeClr val="accent1"/>
          </a:lnRef>
          <a:fillRef idx="0">
            <a:schemeClr val="accent1"/>
          </a:fillRef>
          <a:effectRef idx="0">
            <a:schemeClr val="accent1"/>
          </a:effectRef>
          <a:fontRef idx="minor">
            <a:schemeClr val="tx1"/>
          </a:fontRef>
        </xdr:style>
      </xdr:cxnSp>
    </xdr:grpSp>
    <xdr:clientData/>
  </xdr:twoCellAnchor>
  <xdr:twoCellAnchor>
    <xdr:from>
      <xdr:col>2</xdr:col>
      <xdr:colOff>547687</xdr:colOff>
      <xdr:row>37</xdr:row>
      <xdr:rowOff>47624</xdr:rowOff>
    </xdr:from>
    <xdr:to>
      <xdr:col>9</xdr:col>
      <xdr:colOff>273843</xdr:colOff>
      <xdr:row>53</xdr:row>
      <xdr:rowOff>178593</xdr:rowOff>
    </xdr:to>
    <xdr:graphicFrame macro="">
      <xdr:nvGraphicFramePr>
        <xdr:cNvPr id="37" name="Chart 36">
          <a:extLst>
            <a:ext uri="{FF2B5EF4-FFF2-40B4-BE49-F238E27FC236}">
              <a16:creationId xmlns:a16="http://schemas.microsoft.com/office/drawing/2014/main" id="{D11C11FA-9C23-4208-9788-DA6D4721317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xdr:from>
      <xdr:col>1</xdr:col>
      <xdr:colOff>371929</xdr:colOff>
      <xdr:row>120</xdr:row>
      <xdr:rowOff>235857</xdr:rowOff>
    </xdr:from>
    <xdr:to>
      <xdr:col>8</xdr:col>
      <xdr:colOff>489858</xdr:colOff>
      <xdr:row>131</xdr:row>
      <xdr:rowOff>185057</xdr:rowOff>
    </xdr:to>
    <xdr:graphicFrame macro="">
      <xdr:nvGraphicFramePr>
        <xdr:cNvPr id="42" name="Chart 41">
          <a:extLst>
            <a:ext uri="{FF2B5EF4-FFF2-40B4-BE49-F238E27FC236}">
              <a16:creationId xmlns:a16="http://schemas.microsoft.com/office/drawing/2014/main" id="{7821BA9B-9B5D-48A5-9A28-4C196DC1962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9</xdr:col>
      <xdr:colOff>127001</xdr:colOff>
      <xdr:row>120</xdr:row>
      <xdr:rowOff>217714</xdr:rowOff>
    </xdr:from>
    <xdr:to>
      <xdr:col>15</xdr:col>
      <xdr:colOff>544286</xdr:colOff>
      <xdr:row>131</xdr:row>
      <xdr:rowOff>166914</xdr:rowOff>
    </xdr:to>
    <xdr:graphicFrame macro="">
      <xdr:nvGraphicFramePr>
        <xdr:cNvPr id="43" name="Chart 42">
          <a:extLst>
            <a:ext uri="{FF2B5EF4-FFF2-40B4-BE49-F238E27FC236}">
              <a16:creationId xmlns:a16="http://schemas.microsoft.com/office/drawing/2014/main" id="{40A71C53-445F-41D2-A514-3A957F7DE2B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xdr:from>
      <xdr:col>1</xdr:col>
      <xdr:colOff>335643</xdr:colOff>
      <xdr:row>194</xdr:row>
      <xdr:rowOff>244928</xdr:rowOff>
    </xdr:from>
    <xdr:to>
      <xdr:col>9</xdr:col>
      <xdr:colOff>281215</xdr:colOff>
      <xdr:row>210</xdr:row>
      <xdr:rowOff>226785</xdr:rowOff>
    </xdr:to>
    <xdr:graphicFrame macro="">
      <xdr:nvGraphicFramePr>
        <xdr:cNvPr id="44" name="Chart 43">
          <a:extLst>
            <a:ext uri="{FF2B5EF4-FFF2-40B4-BE49-F238E27FC236}">
              <a16:creationId xmlns:a16="http://schemas.microsoft.com/office/drawing/2014/main" id="{613504A3-E0D9-4E95-838C-292E6C6D475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2"/>
        </a:graphicData>
      </a:graphic>
    </xdr:graphicFrame>
    <xdr:clientData/>
  </xdr:twoCellAnchor>
  <xdr:twoCellAnchor>
    <xdr:from>
      <xdr:col>9</xdr:col>
      <xdr:colOff>426358</xdr:colOff>
      <xdr:row>194</xdr:row>
      <xdr:rowOff>235857</xdr:rowOff>
    </xdr:from>
    <xdr:to>
      <xdr:col>16</xdr:col>
      <xdr:colOff>635000</xdr:colOff>
      <xdr:row>210</xdr:row>
      <xdr:rowOff>226785</xdr:rowOff>
    </xdr:to>
    <xdr:graphicFrame macro="">
      <xdr:nvGraphicFramePr>
        <xdr:cNvPr id="45" name="Chart 44">
          <a:extLst>
            <a:ext uri="{FF2B5EF4-FFF2-40B4-BE49-F238E27FC236}">
              <a16:creationId xmlns:a16="http://schemas.microsoft.com/office/drawing/2014/main" id="{F8A597F2-1569-4D34-BA27-E7622800012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3"/>
        </a:graphicData>
      </a:graphic>
    </xdr:graphicFrame>
    <xdr:clientData/>
  </xdr:twoCellAnchor>
  <xdr:twoCellAnchor>
    <xdr:from>
      <xdr:col>1</xdr:col>
      <xdr:colOff>72571</xdr:colOff>
      <xdr:row>168</xdr:row>
      <xdr:rowOff>117927</xdr:rowOff>
    </xdr:from>
    <xdr:to>
      <xdr:col>9</xdr:col>
      <xdr:colOff>281215</xdr:colOff>
      <xdr:row>188</xdr:row>
      <xdr:rowOff>154214</xdr:rowOff>
    </xdr:to>
    <xdr:graphicFrame macro="">
      <xdr:nvGraphicFramePr>
        <xdr:cNvPr id="46" name="Chart 45">
          <a:extLst>
            <a:ext uri="{FF2B5EF4-FFF2-40B4-BE49-F238E27FC236}">
              <a16:creationId xmlns:a16="http://schemas.microsoft.com/office/drawing/2014/main" id="{75A75DEC-9ECA-4655-9845-809C3B5BA6C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9</xdr:col>
      <xdr:colOff>535215</xdr:colOff>
      <xdr:row>168</xdr:row>
      <xdr:rowOff>81643</xdr:rowOff>
    </xdr:from>
    <xdr:to>
      <xdr:col>16</xdr:col>
      <xdr:colOff>798285</xdr:colOff>
      <xdr:row>188</xdr:row>
      <xdr:rowOff>145143</xdr:rowOff>
    </xdr:to>
    <xdr:graphicFrame macro="">
      <xdr:nvGraphicFramePr>
        <xdr:cNvPr id="47" name="Chart 46">
          <a:extLst>
            <a:ext uri="{FF2B5EF4-FFF2-40B4-BE49-F238E27FC236}">
              <a16:creationId xmlns:a16="http://schemas.microsoft.com/office/drawing/2014/main" id="{24ECFE44-7A44-44F2-B309-05A293DC39F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editAs="oneCell">
    <xdr:from>
      <xdr:col>3</xdr:col>
      <xdr:colOff>13607</xdr:colOff>
      <xdr:row>26</xdr:row>
      <xdr:rowOff>204107</xdr:rowOff>
    </xdr:from>
    <xdr:to>
      <xdr:col>9</xdr:col>
      <xdr:colOff>2185</xdr:colOff>
      <xdr:row>36</xdr:row>
      <xdr:rowOff>240257</xdr:rowOff>
    </xdr:to>
    <xdr:pic>
      <xdr:nvPicPr>
        <xdr:cNvPr id="48" name="Picture 47">
          <a:extLst>
            <a:ext uri="{FF2B5EF4-FFF2-40B4-BE49-F238E27FC236}">
              <a16:creationId xmlns:a16="http://schemas.microsoft.com/office/drawing/2014/main" id="{7FE1B34F-50C0-E18F-9D41-68437E65E46C}"/>
            </a:ext>
          </a:extLst>
        </xdr:cNvPr>
        <xdr:cNvPicPr>
          <a:picLocks noChangeAspect="1"/>
        </xdr:cNvPicPr>
      </xdr:nvPicPr>
      <xdr:blipFill>
        <a:blip xmlns:r="http://schemas.openxmlformats.org/officeDocument/2006/relationships" r:embed="rId26"/>
        <a:stretch>
          <a:fillRect/>
        </a:stretch>
      </xdr:blipFill>
      <xdr:spPr>
        <a:xfrm>
          <a:off x="1319893" y="1945821"/>
          <a:ext cx="3853006" cy="2621507"/>
        </a:xfrm>
        <a:prstGeom prst="rect">
          <a:avLst/>
        </a:prstGeom>
      </xdr:spPr>
    </xdr:pic>
    <xdr:clientData/>
  </xdr:twoCellAnchor>
  <xdr:twoCellAnchor>
    <xdr:from>
      <xdr:col>2</xdr:col>
      <xdr:colOff>234428</xdr:colOff>
      <xdr:row>29</xdr:row>
      <xdr:rowOff>149680</xdr:rowOff>
    </xdr:from>
    <xdr:to>
      <xdr:col>5</xdr:col>
      <xdr:colOff>605119</xdr:colOff>
      <xdr:row>41</xdr:row>
      <xdr:rowOff>246531</xdr:rowOff>
    </xdr:to>
    <xdr:grpSp>
      <xdr:nvGrpSpPr>
        <xdr:cNvPr id="38" name="Group 37">
          <a:extLst>
            <a:ext uri="{FF2B5EF4-FFF2-40B4-BE49-F238E27FC236}">
              <a16:creationId xmlns:a16="http://schemas.microsoft.com/office/drawing/2014/main" id="{D4A63F20-436F-4C99-A0B1-7A1A4A108372}"/>
            </a:ext>
          </a:extLst>
        </xdr:cNvPr>
        <xdr:cNvGrpSpPr/>
      </xdr:nvGrpSpPr>
      <xdr:grpSpPr>
        <a:xfrm>
          <a:off x="901178" y="2667001"/>
          <a:ext cx="2071584" cy="3199280"/>
          <a:chOff x="1608663" y="8195624"/>
          <a:chExt cx="2560320" cy="1737360"/>
        </a:xfrm>
      </xdr:grpSpPr>
      <xdr:cxnSp macro="">
        <xdr:nvCxnSpPr>
          <xdr:cNvPr id="39" name="Straight Connector 38">
            <a:extLst>
              <a:ext uri="{FF2B5EF4-FFF2-40B4-BE49-F238E27FC236}">
                <a16:creationId xmlns:a16="http://schemas.microsoft.com/office/drawing/2014/main" id="{6289DB6B-2629-D359-2C48-293BDD7E3F54}"/>
              </a:ext>
            </a:extLst>
          </xdr:cNvPr>
          <xdr:cNvCxnSpPr/>
        </xdr:nvCxnSpPr>
        <xdr:spPr>
          <a:xfrm>
            <a:off x="1642259" y="8195624"/>
            <a:ext cx="0" cy="1737360"/>
          </a:xfrm>
          <a:prstGeom prst="line">
            <a:avLst/>
          </a:prstGeom>
          <a:ln w="57150">
            <a:solidFill>
              <a:srgbClr val="002060"/>
            </a:solidFill>
          </a:ln>
        </xdr:spPr>
        <xdr:style>
          <a:lnRef idx="1">
            <a:schemeClr val="accent1"/>
          </a:lnRef>
          <a:fillRef idx="0">
            <a:schemeClr val="accent1"/>
          </a:fillRef>
          <a:effectRef idx="0">
            <a:schemeClr val="accent1"/>
          </a:effectRef>
          <a:fontRef idx="minor">
            <a:schemeClr val="tx1"/>
          </a:fontRef>
        </xdr:style>
      </xdr:cxnSp>
      <xdr:cxnSp macro="">
        <xdr:nvCxnSpPr>
          <xdr:cNvPr id="40" name="Straight Arrow Connector 39">
            <a:extLst>
              <a:ext uri="{FF2B5EF4-FFF2-40B4-BE49-F238E27FC236}">
                <a16:creationId xmlns:a16="http://schemas.microsoft.com/office/drawing/2014/main" id="{D8EB455B-5DBF-A3FB-0A63-FB228365DA3B}"/>
              </a:ext>
            </a:extLst>
          </xdr:cNvPr>
          <xdr:cNvCxnSpPr/>
        </xdr:nvCxnSpPr>
        <xdr:spPr>
          <a:xfrm flipV="1">
            <a:off x="1632855" y="9910252"/>
            <a:ext cx="548640" cy="5132"/>
          </a:xfrm>
          <a:prstGeom prst="straightConnector1">
            <a:avLst/>
          </a:prstGeom>
          <a:ln w="57150">
            <a:solidFill>
              <a:srgbClr val="00206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41" name="Straight Connector 40">
            <a:extLst>
              <a:ext uri="{FF2B5EF4-FFF2-40B4-BE49-F238E27FC236}">
                <a16:creationId xmlns:a16="http://schemas.microsoft.com/office/drawing/2014/main" id="{65E4A065-ED31-1F44-7189-845FD29C0E38}"/>
              </a:ext>
            </a:extLst>
          </xdr:cNvPr>
          <xdr:cNvCxnSpPr/>
        </xdr:nvCxnSpPr>
        <xdr:spPr>
          <a:xfrm flipH="1">
            <a:off x="1608663" y="8219647"/>
            <a:ext cx="2560320" cy="0"/>
          </a:xfrm>
          <a:prstGeom prst="line">
            <a:avLst/>
          </a:prstGeom>
          <a:ln w="57150">
            <a:solidFill>
              <a:srgbClr val="002060"/>
            </a:solidFill>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17.xml><?xml version="1.0" encoding="utf-8"?>
<xdr:wsDr xmlns:xdr="http://schemas.openxmlformats.org/drawingml/2006/spreadsheetDrawing" xmlns:a="http://schemas.openxmlformats.org/drawingml/2006/main">
  <xdr:oneCellAnchor>
    <xdr:from>
      <xdr:col>2</xdr:col>
      <xdr:colOff>597330</xdr:colOff>
      <xdr:row>3</xdr:row>
      <xdr:rowOff>148166</xdr:rowOff>
    </xdr:from>
    <xdr:ext cx="0" cy="4003041"/>
    <xdr:pic>
      <xdr:nvPicPr>
        <xdr:cNvPr id="2" name="Picture 1">
          <a:extLst>
            <a:ext uri="{FF2B5EF4-FFF2-40B4-BE49-F238E27FC236}">
              <a16:creationId xmlns:a16="http://schemas.microsoft.com/office/drawing/2014/main" id="{648EE563-DCEF-41F7-9986-55211DEAA026}"/>
            </a:ext>
          </a:extLst>
        </xdr:cNvPr>
        <xdr:cNvPicPr>
          <a:picLocks noChangeAspect="1"/>
        </xdr:cNvPicPr>
      </xdr:nvPicPr>
      <xdr:blipFill>
        <a:blip xmlns:r="http://schemas.openxmlformats.org/officeDocument/2006/relationships" r:embed="rId1"/>
        <a:stretch>
          <a:fillRect/>
        </a:stretch>
      </xdr:blipFill>
      <xdr:spPr>
        <a:xfrm>
          <a:off x="1492680" y="976841"/>
          <a:ext cx="0" cy="4003041"/>
        </a:xfrm>
        <a:prstGeom prst="rect">
          <a:avLst/>
        </a:prstGeom>
      </xdr:spPr>
    </xdr:pic>
    <xdr:clientData/>
  </xdr:oneCellAnchor>
  <xdr:oneCellAnchor>
    <xdr:from>
      <xdr:col>3</xdr:col>
      <xdr:colOff>0</xdr:colOff>
      <xdr:row>31</xdr:row>
      <xdr:rowOff>0</xdr:rowOff>
    </xdr:from>
    <xdr:ext cx="0" cy="5097744"/>
    <xdr:pic>
      <xdr:nvPicPr>
        <xdr:cNvPr id="3" name="Picture 2">
          <a:extLst>
            <a:ext uri="{FF2B5EF4-FFF2-40B4-BE49-F238E27FC236}">
              <a16:creationId xmlns:a16="http://schemas.microsoft.com/office/drawing/2014/main" id="{38AA2A6E-DD8E-4154-9E08-4439D5B11C33}"/>
            </a:ext>
          </a:extLst>
        </xdr:cNvPr>
        <xdr:cNvPicPr>
          <a:picLocks noChangeAspect="1"/>
        </xdr:cNvPicPr>
      </xdr:nvPicPr>
      <xdr:blipFill>
        <a:blip xmlns:r="http://schemas.openxmlformats.org/officeDocument/2006/relationships" r:embed="rId2"/>
        <a:stretch>
          <a:fillRect/>
        </a:stretch>
      </xdr:blipFill>
      <xdr:spPr>
        <a:xfrm>
          <a:off x="1495425" y="7077075"/>
          <a:ext cx="0" cy="5097744"/>
        </a:xfrm>
        <a:prstGeom prst="rect">
          <a:avLst/>
        </a:prstGeom>
      </xdr:spPr>
    </xdr:pic>
    <xdr:clientData/>
  </xdr:oneCellAnchor>
  <xdr:twoCellAnchor>
    <xdr:from>
      <xdr:col>2</xdr:col>
      <xdr:colOff>530678</xdr:colOff>
      <xdr:row>31</xdr:row>
      <xdr:rowOff>56029</xdr:rowOff>
    </xdr:from>
    <xdr:to>
      <xdr:col>16</xdr:col>
      <xdr:colOff>1197427</xdr:colOff>
      <xdr:row>52</xdr:row>
      <xdr:rowOff>112058</xdr:rowOff>
    </xdr:to>
    <xdr:graphicFrame macro="">
      <xdr:nvGraphicFramePr>
        <xdr:cNvPr id="5" name="Chart 4">
          <a:extLst>
            <a:ext uri="{FF2B5EF4-FFF2-40B4-BE49-F238E27FC236}">
              <a16:creationId xmlns:a16="http://schemas.microsoft.com/office/drawing/2014/main" id="{31D740A5-5846-4457-B88C-8744CCA6900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3</xdr:col>
      <xdr:colOff>107151</xdr:colOff>
      <xdr:row>1</xdr:row>
      <xdr:rowOff>309557</xdr:rowOff>
    </xdr:from>
    <xdr:to>
      <xdr:col>16</xdr:col>
      <xdr:colOff>1344178</xdr:colOff>
      <xdr:row>21</xdr:row>
      <xdr:rowOff>92839</xdr:rowOff>
    </xdr:to>
    <xdr:pic>
      <xdr:nvPicPr>
        <xdr:cNvPr id="6" name="Picture 5">
          <a:extLst>
            <a:ext uri="{FF2B5EF4-FFF2-40B4-BE49-F238E27FC236}">
              <a16:creationId xmlns:a16="http://schemas.microsoft.com/office/drawing/2014/main" id="{2BAD0A5C-343A-9307-73B5-5727D35952C7}"/>
            </a:ext>
          </a:extLst>
        </xdr:cNvPr>
        <xdr:cNvPicPr>
          <a:picLocks noChangeAspect="1"/>
        </xdr:cNvPicPr>
      </xdr:nvPicPr>
      <xdr:blipFill>
        <a:blip xmlns:r="http://schemas.openxmlformats.org/officeDocument/2006/relationships" r:embed="rId4"/>
        <a:stretch>
          <a:fillRect/>
        </a:stretch>
      </xdr:blipFill>
      <xdr:spPr>
        <a:xfrm>
          <a:off x="1595432" y="523870"/>
          <a:ext cx="10071465" cy="5212532"/>
        </a:xfrm>
        <a:prstGeom prst="rect">
          <a:avLst/>
        </a:prstGeom>
      </xdr:spPr>
    </xdr:pic>
    <xdr:clientData/>
  </xdr:twoCellAnchor>
  <xdr:twoCellAnchor editAs="oneCell">
    <xdr:from>
      <xdr:col>19</xdr:col>
      <xdr:colOff>1131093</xdr:colOff>
      <xdr:row>52</xdr:row>
      <xdr:rowOff>71437</xdr:rowOff>
    </xdr:from>
    <xdr:to>
      <xdr:col>32</xdr:col>
      <xdr:colOff>33922</xdr:colOff>
      <xdr:row>69</xdr:row>
      <xdr:rowOff>65016</xdr:rowOff>
    </xdr:to>
    <xdr:pic>
      <xdr:nvPicPr>
        <xdr:cNvPr id="4" name="Picture 3">
          <a:extLst>
            <a:ext uri="{FF2B5EF4-FFF2-40B4-BE49-F238E27FC236}">
              <a16:creationId xmlns:a16="http://schemas.microsoft.com/office/drawing/2014/main" id="{7AC27660-5AA8-1ABF-2544-CEEDF2ED0868}"/>
            </a:ext>
          </a:extLst>
        </xdr:cNvPr>
        <xdr:cNvPicPr>
          <a:picLocks noChangeAspect="1"/>
        </xdr:cNvPicPr>
      </xdr:nvPicPr>
      <xdr:blipFill>
        <a:blip xmlns:r="http://schemas.openxmlformats.org/officeDocument/2006/relationships" r:embed="rId5"/>
        <a:stretch>
          <a:fillRect/>
        </a:stretch>
      </xdr:blipFill>
      <xdr:spPr>
        <a:xfrm>
          <a:off x="14216062" y="13001625"/>
          <a:ext cx="10047079" cy="5041829"/>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11</xdr:col>
      <xdr:colOff>571499</xdr:colOff>
      <xdr:row>46</xdr:row>
      <xdr:rowOff>176893</xdr:rowOff>
    </xdr:from>
    <xdr:to>
      <xdr:col>20</xdr:col>
      <xdr:colOff>711620</xdr:colOff>
      <xdr:row>66</xdr:row>
      <xdr:rowOff>22423</xdr:rowOff>
    </xdr:to>
    <xdr:pic>
      <xdr:nvPicPr>
        <xdr:cNvPr id="6" name="Picture 5">
          <a:extLst>
            <a:ext uri="{FF2B5EF4-FFF2-40B4-BE49-F238E27FC236}">
              <a16:creationId xmlns:a16="http://schemas.microsoft.com/office/drawing/2014/main" id="{991F5B8C-A50B-EBB1-2A2E-16AC6E2B9E7F}"/>
            </a:ext>
          </a:extLst>
        </xdr:cNvPr>
        <xdr:cNvPicPr>
          <a:picLocks noChangeAspect="1"/>
        </xdr:cNvPicPr>
      </xdr:nvPicPr>
      <xdr:blipFill>
        <a:blip xmlns:r="http://schemas.openxmlformats.org/officeDocument/2006/relationships" r:embed="rId1"/>
        <a:stretch>
          <a:fillRect/>
        </a:stretch>
      </xdr:blipFill>
      <xdr:spPr>
        <a:xfrm>
          <a:off x="6626678" y="10518322"/>
          <a:ext cx="6535478" cy="3737172"/>
        </a:xfrm>
        <a:prstGeom prst="rect">
          <a:avLst/>
        </a:prstGeom>
      </xdr:spPr>
    </xdr:pic>
    <xdr:clientData/>
  </xdr:twoCellAnchor>
  <xdr:twoCellAnchor editAs="oneCell">
    <xdr:from>
      <xdr:col>2</xdr:col>
      <xdr:colOff>190500</xdr:colOff>
      <xdr:row>46</xdr:row>
      <xdr:rowOff>163285</xdr:rowOff>
    </xdr:from>
    <xdr:to>
      <xdr:col>11</xdr:col>
      <xdr:colOff>475711</xdr:colOff>
      <xdr:row>66</xdr:row>
      <xdr:rowOff>8815</xdr:rowOff>
    </xdr:to>
    <xdr:pic>
      <xdr:nvPicPr>
        <xdr:cNvPr id="7" name="Picture 6">
          <a:extLst>
            <a:ext uri="{FF2B5EF4-FFF2-40B4-BE49-F238E27FC236}">
              <a16:creationId xmlns:a16="http://schemas.microsoft.com/office/drawing/2014/main" id="{B0F4F83B-D28A-81B8-385B-BBC71616A889}"/>
            </a:ext>
          </a:extLst>
        </xdr:cNvPr>
        <xdr:cNvPicPr>
          <a:picLocks noChangeAspect="1"/>
        </xdr:cNvPicPr>
      </xdr:nvPicPr>
      <xdr:blipFill>
        <a:blip xmlns:r="http://schemas.openxmlformats.org/officeDocument/2006/relationships" r:embed="rId2"/>
        <a:stretch>
          <a:fillRect/>
        </a:stretch>
      </xdr:blipFill>
      <xdr:spPr>
        <a:xfrm>
          <a:off x="190500" y="10504714"/>
          <a:ext cx="6340390" cy="3737172"/>
        </a:xfrm>
        <a:prstGeom prst="rect">
          <a:avLst/>
        </a:prstGeom>
      </xdr:spPr>
    </xdr:pic>
    <xdr:clientData/>
  </xdr:twoCellAnchor>
  <xdr:twoCellAnchor editAs="oneCell">
    <xdr:from>
      <xdr:col>11</xdr:col>
      <xdr:colOff>394607</xdr:colOff>
      <xdr:row>25</xdr:row>
      <xdr:rowOff>1</xdr:rowOff>
    </xdr:from>
    <xdr:to>
      <xdr:col>20</xdr:col>
      <xdr:colOff>559115</xdr:colOff>
      <xdr:row>43</xdr:row>
      <xdr:rowOff>93727</xdr:rowOff>
    </xdr:to>
    <xdr:pic>
      <xdr:nvPicPr>
        <xdr:cNvPr id="8" name="Picture 7">
          <a:extLst>
            <a:ext uri="{FF2B5EF4-FFF2-40B4-BE49-F238E27FC236}">
              <a16:creationId xmlns:a16="http://schemas.microsoft.com/office/drawing/2014/main" id="{90EE2651-61C9-434C-2107-D005A448324D}"/>
            </a:ext>
          </a:extLst>
        </xdr:cNvPr>
        <xdr:cNvPicPr>
          <a:picLocks noChangeAspect="1"/>
        </xdr:cNvPicPr>
      </xdr:nvPicPr>
      <xdr:blipFill>
        <a:blip xmlns:r="http://schemas.openxmlformats.org/officeDocument/2006/relationships" r:embed="rId3"/>
        <a:stretch>
          <a:fillRect/>
        </a:stretch>
      </xdr:blipFill>
      <xdr:spPr>
        <a:xfrm>
          <a:off x="6449786" y="6014358"/>
          <a:ext cx="6559865" cy="3767655"/>
        </a:xfrm>
        <a:prstGeom prst="rect">
          <a:avLst/>
        </a:prstGeom>
      </xdr:spPr>
    </xdr:pic>
    <xdr:clientData/>
  </xdr:twoCellAnchor>
  <xdr:twoCellAnchor editAs="oneCell">
    <xdr:from>
      <xdr:col>2</xdr:col>
      <xdr:colOff>68035</xdr:colOff>
      <xdr:row>25</xdr:row>
      <xdr:rowOff>0</xdr:rowOff>
    </xdr:from>
    <xdr:to>
      <xdr:col>11</xdr:col>
      <xdr:colOff>334956</xdr:colOff>
      <xdr:row>43</xdr:row>
      <xdr:rowOff>93726</xdr:rowOff>
    </xdr:to>
    <xdr:pic>
      <xdr:nvPicPr>
        <xdr:cNvPr id="9" name="Picture 8">
          <a:extLst>
            <a:ext uri="{FF2B5EF4-FFF2-40B4-BE49-F238E27FC236}">
              <a16:creationId xmlns:a16="http://schemas.microsoft.com/office/drawing/2014/main" id="{84C201FA-5284-FE6D-9D6C-95E37114A012}"/>
            </a:ext>
          </a:extLst>
        </xdr:cNvPr>
        <xdr:cNvPicPr>
          <a:picLocks noChangeAspect="1"/>
        </xdr:cNvPicPr>
      </xdr:nvPicPr>
      <xdr:blipFill>
        <a:blip xmlns:r="http://schemas.openxmlformats.org/officeDocument/2006/relationships" r:embed="rId4"/>
        <a:stretch>
          <a:fillRect/>
        </a:stretch>
      </xdr:blipFill>
      <xdr:spPr>
        <a:xfrm>
          <a:off x="68035" y="6014357"/>
          <a:ext cx="6322100" cy="376765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2</xdr:col>
      <xdr:colOff>207817</xdr:colOff>
      <xdr:row>32</xdr:row>
      <xdr:rowOff>103909</xdr:rowOff>
    </xdr:from>
    <xdr:to>
      <xdr:col>10</xdr:col>
      <xdr:colOff>173181</xdr:colOff>
      <xdr:row>48</xdr:row>
      <xdr:rowOff>190500</xdr:rowOff>
    </xdr:to>
    <xdr:graphicFrame macro="">
      <xdr:nvGraphicFramePr>
        <xdr:cNvPr id="3" name="Chart 2">
          <a:extLst>
            <a:ext uri="{FF2B5EF4-FFF2-40B4-BE49-F238E27FC236}">
              <a16:creationId xmlns:a16="http://schemas.microsoft.com/office/drawing/2014/main" id="{B261F7B8-5755-46EB-A4B7-50F896F8BC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10</xdr:col>
      <xdr:colOff>246167</xdr:colOff>
      <xdr:row>32</xdr:row>
      <xdr:rowOff>113805</xdr:rowOff>
    </xdr:from>
    <xdr:to>
      <xdr:col>18</xdr:col>
      <xdr:colOff>402029</xdr:colOff>
      <xdr:row>48</xdr:row>
      <xdr:rowOff>190500</xdr:rowOff>
    </xdr:to>
    <xdr:graphicFrame macro="">
      <xdr:nvGraphicFramePr>
        <xdr:cNvPr id="4" name="Chart 3">
          <a:extLst>
            <a:ext uri="{FF2B5EF4-FFF2-40B4-BE49-F238E27FC236}">
              <a16:creationId xmlns:a16="http://schemas.microsoft.com/office/drawing/2014/main" id="{2303B554-0FAF-4929-BFE8-4782B9EA00E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xdr:col>
      <xdr:colOff>204106</xdr:colOff>
      <xdr:row>50</xdr:row>
      <xdr:rowOff>54426</xdr:rowOff>
    </xdr:from>
    <xdr:to>
      <xdr:col>18</xdr:col>
      <xdr:colOff>408214</xdr:colOff>
      <xdr:row>66</xdr:row>
      <xdr:rowOff>54427</xdr:rowOff>
    </xdr:to>
    <xdr:graphicFrame macro="">
      <xdr:nvGraphicFramePr>
        <xdr:cNvPr id="5" name="Chart 4">
          <a:extLst>
            <a:ext uri="{FF2B5EF4-FFF2-40B4-BE49-F238E27FC236}">
              <a16:creationId xmlns:a16="http://schemas.microsoft.com/office/drawing/2014/main" id="{F7C1B3E0-A2FA-4157-87CB-CE58BC9C75F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2</xdr:col>
      <xdr:colOff>0</xdr:colOff>
      <xdr:row>3</xdr:row>
      <xdr:rowOff>79376</xdr:rowOff>
    </xdr:from>
    <xdr:to>
      <xdr:col>18</xdr:col>
      <xdr:colOff>737031</xdr:colOff>
      <xdr:row>30</xdr:row>
      <xdr:rowOff>111126</xdr:rowOff>
    </xdr:to>
    <xdr:pic>
      <xdr:nvPicPr>
        <xdr:cNvPr id="6" name="Picture 5">
          <a:extLst>
            <a:ext uri="{FF2B5EF4-FFF2-40B4-BE49-F238E27FC236}">
              <a16:creationId xmlns:a16="http://schemas.microsoft.com/office/drawing/2014/main" id="{98B44840-27A1-5165-CA2D-69A6E64340D3}"/>
            </a:ext>
          </a:extLst>
        </xdr:cNvPr>
        <xdr:cNvPicPr>
          <a:picLocks noChangeAspect="1"/>
        </xdr:cNvPicPr>
      </xdr:nvPicPr>
      <xdr:blipFill>
        <a:blip xmlns:r="http://schemas.openxmlformats.org/officeDocument/2006/relationships" r:embed="rId4"/>
        <a:stretch>
          <a:fillRect/>
        </a:stretch>
      </xdr:blipFill>
      <xdr:spPr>
        <a:xfrm>
          <a:off x="1206500" y="762001"/>
          <a:ext cx="10833531" cy="638175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xdr:col>
      <xdr:colOff>304800</xdr:colOff>
      <xdr:row>3</xdr:row>
      <xdr:rowOff>114300</xdr:rowOff>
    </xdr:to>
    <xdr:sp macro="" textlink="">
      <xdr:nvSpPr>
        <xdr:cNvPr id="438278" name="AutoShape 6">
          <a:extLst>
            <a:ext uri="{FF2B5EF4-FFF2-40B4-BE49-F238E27FC236}">
              <a16:creationId xmlns:a16="http://schemas.microsoft.com/office/drawing/2014/main" id="{AF45994A-35EF-D525-2354-F78037E1DE90}"/>
            </a:ext>
          </a:extLst>
        </xdr:cNvPr>
        <xdr:cNvSpPr>
          <a:spLocks noChangeAspect="1" noChangeArrowheads="1"/>
        </xdr:cNvSpPr>
      </xdr:nvSpPr>
      <xdr:spPr bwMode="auto">
        <a:xfrm>
          <a:off x="609600" y="3810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0</xdr:colOff>
      <xdr:row>20</xdr:row>
      <xdr:rowOff>23596</xdr:rowOff>
    </xdr:from>
    <xdr:to>
      <xdr:col>20</xdr:col>
      <xdr:colOff>127000</xdr:colOff>
      <xdr:row>45</xdr:row>
      <xdr:rowOff>69850</xdr:rowOff>
    </xdr:to>
    <xdr:pic>
      <xdr:nvPicPr>
        <xdr:cNvPr id="5" name="Picture 4">
          <a:extLst>
            <a:ext uri="{FF2B5EF4-FFF2-40B4-BE49-F238E27FC236}">
              <a16:creationId xmlns:a16="http://schemas.microsoft.com/office/drawing/2014/main" id="{CF355830-FCFD-BE1A-A3E8-75BC01A9EBFC}"/>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833596"/>
          <a:ext cx="12403667" cy="48087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5</xdr:row>
      <xdr:rowOff>0</xdr:rowOff>
    </xdr:from>
    <xdr:to>
      <xdr:col>13</xdr:col>
      <xdr:colOff>201084</xdr:colOff>
      <xdr:row>31</xdr:row>
      <xdr:rowOff>158750</xdr:rowOff>
    </xdr:to>
    <xdr:sp macro="" textlink="">
      <xdr:nvSpPr>
        <xdr:cNvPr id="378882" name="AutoShape 2">
          <a:extLst>
            <a:ext uri="{FF2B5EF4-FFF2-40B4-BE49-F238E27FC236}">
              <a16:creationId xmlns:a16="http://schemas.microsoft.com/office/drawing/2014/main" id="{92805ADE-EBAF-010C-4CA3-FBD15D7D2F9A}"/>
            </a:ext>
          </a:extLst>
        </xdr:cNvPr>
        <xdr:cNvSpPr>
          <a:spLocks noChangeAspect="1" noChangeArrowheads="1"/>
        </xdr:cNvSpPr>
      </xdr:nvSpPr>
      <xdr:spPr bwMode="auto">
        <a:xfrm>
          <a:off x="3069167" y="952500"/>
          <a:ext cx="5111750" cy="511175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169334</xdr:colOff>
      <xdr:row>1</xdr:row>
      <xdr:rowOff>10583</xdr:rowOff>
    </xdr:from>
    <xdr:to>
      <xdr:col>12</xdr:col>
      <xdr:colOff>52106</xdr:colOff>
      <xdr:row>18</xdr:row>
      <xdr:rowOff>70305</xdr:rowOff>
    </xdr:to>
    <xdr:pic>
      <xdr:nvPicPr>
        <xdr:cNvPr id="4" name="Picture 3">
          <a:extLst>
            <a:ext uri="{FF2B5EF4-FFF2-40B4-BE49-F238E27FC236}">
              <a16:creationId xmlns:a16="http://schemas.microsoft.com/office/drawing/2014/main" id="{ED148CB8-40B0-5A99-6483-5279CFF5C284}"/>
            </a:ext>
          </a:extLst>
        </xdr:cNvPr>
        <xdr:cNvPicPr>
          <a:picLocks noChangeAspect="1"/>
        </xdr:cNvPicPr>
      </xdr:nvPicPr>
      <xdr:blipFill>
        <a:blip xmlns:r="http://schemas.openxmlformats.org/officeDocument/2006/relationships" r:embed="rId2"/>
        <a:stretch>
          <a:fillRect/>
        </a:stretch>
      </xdr:blipFill>
      <xdr:spPr>
        <a:xfrm>
          <a:off x="169334" y="201083"/>
          <a:ext cx="7248772" cy="3298222"/>
        </a:xfrm>
        <a:prstGeom prst="rect">
          <a:avLst/>
        </a:prstGeom>
      </xdr:spPr>
    </xdr:pic>
    <xdr:clientData/>
  </xdr:twoCellAnchor>
  <xdr:twoCellAnchor editAs="oneCell">
    <xdr:from>
      <xdr:col>12</xdr:col>
      <xdr:colOff>338666</xdr:colOff>
      <xdr:row>1</xdr:row>
      <xdr:rowOff>42333</xdr:rowOff>
    </xdr:from>
    <xdr:to>
      <xdr:col>20</xdr:col>
      <xdr:colOff>402766</xdr:colOff>
      <xdr:row>18</xdr:row>
      <xdr:rowOff>144731</xdr:rowOff>
    </xdr:to>
    <xdr:pic>
      <xdr:nvPicPr>
        <xdr:cNvPr id="8" name="Picture 7">
          <a:extLst>
            <a:ext uri="{FF2B5EF4-FFF2-40B4-BE49-F238E27FC236}">
              <a16:creationId xmlns:a16="http://schemas.microsoft.com/office/drawing/2014/main" id="{3A88ED0A-8804-0258-5DDD-81DF08004BA9}"/>
            </a:ext>
          </a:extLst>
        </xdr:cNvPr>
        <xdr:cNvPicPr>
          <a:picLocks noChangeAspect="1"/>
        </xdr:cNvPicPr>
      </xdr:nvPicPr>
      <xdr:blipFill>
        <a:blip xmlns:r="http://schemas.openxmlformats.org/officeDocument/2006/relationships" r:embed="rId3"/>
        <a:stretch>
          <a:fillRect/>
        </a:stretch>
      </xdr:blipFill>
      <xdr:spPr>
        <a:xfrm>
          <a:off x="7704666" y="232833"/>
          <a:ext cx="4974767" cy="3340898"/>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3</xdr:col>
      <xdr:colOff>38100</xdr:colOff>
      <xdr:row>3</xdr:row>
      <xdr:rowOff>57150</xdr:rowOff>
    </xdr:from>
    <xdr:to>
      <xdr:col>17</xdr:col>
      <xdr:colOff>552450</xdr:colOff>
      <xdr:row>23</xdr:row>
      <xdr:rowOff>66675</xdr:rowOff>
    </xdr:to>
    <xdr:graphicFrame macro="">
      <xdr:nvGraphicFramePr>
        <xdr:cNvPr id="2" name="Chart 1">
          <a:extLst>
            <a:ext uri="{FF2B5EF4-FFF2-40B4-BE49-F238E27FC236}">
              <a16:creationId xmlns:a16="http://schemas.microsoft.com/office/drawing/2014/main" id="{38BD2B06-1CC3-49A1-A545-8013718081F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3</xdr:col>
      <xdr:colOff>47626</xdr:colOff>
      <xdr:row>23</xdr:row>
      <xdr:rowOff>123824</xdr:rowOff>
    </xdr:from>
    <xdr:to>
      <xdr:col>17</xdr:col>
      <xdr:colOff>552450</xdr:colOff>
      <xdr:row>44</xdr:row>
      <xdr:rowOff>19050</xdr:rowOff>
    </xdr:to>
    <xdr:graphicFrame macro="">
      <xdr:nvGraphicFramePr>
        <xdr:cNvPr id="3" name="Chart 2">
          <a:extLst>
            <a:ext uri="{FF2B5EF4-FFF2-40B4-BE49-F238E27FC236}">
              <a16:creationId xmlns:a16="http://schemas.microsoft.com/office/drawing/2014/main" id="{B13EAAF4-364D-454C-A94D-7F41417CE37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31751</xdr:colOff>
      <xdr:row>46</xdr:row>
      <xdr:rowOff>15875</xdr:rowOff>
    </xdr:from>
    <xdr:to>
      <xdr:col>13</xdr:col>
      <xdr:colOff>1</xdr:colOff>
      <xdr:row>56</xdr:row>
      <xdr:rowOff>84055</xdr:rowOff>
    </xdr:to>
    <xdr:pic>
      <xdr:nvPicPr>
        <xdr:cNvPr id="6" name="Picture 5">
          <a:extLst>
            <a:ext uri="{FF2B5EF4-FFF2-40B4-BE49-F238E27FC236}">
              <a16:creationId xmlns:a16="http://schemas.microsoft.com/office/drawing/2014/main" id="{79492431-48A7-246C-E712-D33F472A9F4F}"/>
            </a:ext>
          </a:extLst>
        </xdr:cNvPr>
        <xdr:cNvPicPr>
          <a:picLocks noChangeAspect="1"/>
        </xdr:cNvPicPr>
      </xdr:nvPicPr>
      <xdr:blipFill>
        <a:blip xmlns:r="http://schemas.openxmlformats.org/officeDocument/2006/relationships" r:embed="rId1"/>
        <a:stretch>
          <a:fillRect/>
        </a:stretch>
      </xdr:blipFill>
      <xdr:spPr>
        <a:xfrm>
          <a:off x="682626" y="10699750"/>
          <a:ext cx="9699625" cy="2131930"/>
        </a:xfrm>
        <a:prstGeom prst="rect">
          <a:avLst/>
        </a:prstGeom>
      </xdr:spPr>
    </xdr:pic>
    <xdr:clientData/>
  </xdr:twoCellAnchor>
  <xdr:twoCellAnchor>
    <xdr:from>
      <xdr:col>2</xdr:col>
      <xdr:colOff>0</xdr:colOff>
      <xdr:row>46</xdr:row>
      <xdr:rowOff>0</xdr:rowOff>
    </xdr:from>
    <xdr:to>
      <xdr:col>13</xdr:col>
      <xdr:colOff>15875</xdr:colOff>
      <xdr:row>56</xdr:row>
      <xdr:rowOff>619126</xdr:rowOff>
    </xdr:to>
    <xdr:graphicFrame macro="">
      <xdr:nvGraphicFramePr>
        <xdr:cNvPr id="5" name="Chart 4">
          <a:extLst>
            <a:ext uri="{FF2B5EF4-FFF2-40B4-BE49-F238E27FC236}">
              <a16:creationId xmlns:a16="http://schemas.microsoft.com/office/drawing/2014/main" id="{EDADB16F-F1E0-4849-A4A9-5B7A7EF56F2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3.xml><?xml version="1.0" encoding="utf-8"?>
<xdr:wsDr xmlns:xdr="http://schemas.openxmlformats.org/drawingml/2006/spreadsheetDrawing" xmlns:a="http://schemas.openxmlformats.org/drawingml/2006/main">
  <xdr:twoCellAnchor>
    <xdr:from>
      <xdr:col>2</xdr:col>
      <xdr:colOff>27216</xdr:colOff>
      <xdr:row>47</xdr:row>
      <xdr:rowOff>213631</xdr:rowOff>
    </xdr:from>
    <xdr:to>
      <xdr:col>7</xdr:col>
      <xdr:colOff>2571751</xdr:colOff>
      <xdr:row>58</xdr:row>
      <xdr:rowOff>244929</xdr:rowOff>
    </xdr:to>
    <xdr:graphicFrame macro="">
      <xdr:nvGraphicFramePr>
        <xdr:cNvPr id="3" name="Chart 2">
          <a:extLst>
            <a:ext uri="{FF2B5EF4-FFF2-40B4-BE49-F238E27FC236}">
              <a16:creationId xmlns:a16="http://schemas.microsoft.com/office/drawing/2014/main" id="{E23FB15F-51DD-165C-210D-4D938888A783}"/>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4.xml><?xml version="1.0" encoding="utf-8"?>
<xdr:wsDr xmlns:xdr="http://schemas.openxmlformats.org/drawingml/2006/spreadsheetDrawing" xmlns:a="http://schemas.openxmlformats.org/drawingml/2006/main">
  <xdr:twoCellAnchor>
    <xdr:from>
      <xdr:col>1</xdr:col>
      <xdr:colOff>121227</xdr:colOff>
      <xdr:row>48</xdr:row>
      <xdr:rowOff>91540</xdr:rowOff>
    </xdr:from>
    <xdr:to>
      <xdr:col>6</xdr:col>
      <xdr:colOff>3377046</xdr:colOff>
      <xdr:row>71</xdr:row>
      <xdr:rowOff>51954</xdr:rowOff>
    </xdr:to>
    <xdr:graphicFrame macro="">
      <xdr:nvGraphicFramePr>
        <xdr:cNvPr id="2" name="Chart 1">
          <a:extLst>
            <a:ext uri="{FF2B5EF4-FFF2-40B4-BE49-F238E27FC236}">
              <a16:creationId xmlns:a16="http://schemas.microsoft.com/office/drawing/2014/main" id="{D953F930-6579-4153-8414-0F60E702389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5.xml><?xml version="1.0" encoding="utf-8"?>
<xdr:wsDr xmlns:xdr="http://schemas.openxmlformats.org/drawingml/2006/spreadsheetDrawing" xmlns:a="http://schemas.openxmlformats.org/drawingml/2006/main">
  <xdr:twoCellAnchor>
    <xdr:from>
      <xdr:col>1</xdr:col>
      <xdr:colOff>19050</xdr:colOff>
      <xdr:row>47</xdr:row>
      <xdr:rowOff>85725</xdr:rowOff>
    </xdr:from>
    <xdr:to>
      <xdr:col>7</xdr:col>
      <xdr:colOff>1238250</xdr:colOff>
      <xdr:row>62</xdr:row>
      <xdr:rowOff>152400</xdr:rowOff>
    </xdr:to>
    <xdr:graphicFrame macro="">
      <xdr:nvGraphicFramePr>
        <xdr:cNvPr id="2" name="Chart 1">
          <a:extLst>
            <a:ext uri="{FF2B5EF4-FFF2-40B4-BE49-F238E27FC236}">
              <a16:creationId xmlns:a16="http://schemas.microsoft.com/office/drawing/2014/main" id="{9BE15C36-52D8-4CC2-8470-E6861E53F1A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26.xml><?xml version="1.0" encoding="utf-8"?>
<xdr:wsDr xmlns:xdr="http://schemas.openxmlformats.org/drawingml/2006/spreadsheetDrawing" xmlns:a="http://schemas.openxmlformats.org/drawingml/2006/main">
  <xdr:twoCellAnchor>
    <xdr:from>
      <xdr:col>1</xdr:col>
      <xdr:colOff>78439</xdr:colOff>
      <xdr:row>47</xdr:row>
      <xdr:rowOff>100854</xdr:rowOff>
    </xdr:from>
    <xdr:to>
      <xdr:col>4</xdr:col>
      <xdr:colOff>369793</xdr:colOff>
      <xdr:row>61</xdr:row>
      <xdr:rowOff>132044</xdr:rowOff>
    </xdr:to>
    <xdr:graphicFrame macro="">
      <xdr:nvGraphicFramePr>
        <xdr:cNvPr id="2" name="Chart 1">
          <a:extLst>
            <a:ext uri="{FF2B5EF4-FFF2-40B4-BE49-F238E27FC236}">
              <a16:creationId xmlns:a16="http://schemas.microsoft.com/office/drawing/2014/main" id="{252E7F0E-7576-4ACF-9AD3-A906E76F319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4</xdr:col>
      <xdr:colOff>448235</xdr:colOff>
      <xdr:row>47</xdr:row>
      <xdr:rowOff>145676</xdr:rowOff>
    </xdr:from>
    <xdr:to>
      <xdr:col>11</xdr:col>
      <xdr:colOff>1</xdr:colOff>
      <xdr:row>61</xdr:row>
      <xdr:rowOff>123263</xdr:rowOff>
    </xdr:to>
    <xdr:graphicFrame macro="">
      <xdr:nvGraphicFramePr>
        <xdr:cNvPr id="3" name="Chart 2">
          <a:extLst>
            <a:ext uri="{FF2B5EF4-FFF2-40B4-BE49-F238E27FC236}">
              <a16:creationId xmlns:a16="http://schemas.microsoft.com/office/drawing/2014/main" id="{9B33112E-2CC2-480E-91AD-07CB8A59041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0</xdr:colOff>
      <xdr:row>2</xdr:row>
      <xdr:rowOff>120740</xdr:rowOff>
    </xdr:from>
    <xdr:to>
      <xdr:col>18</xdr:col>
      <xdr:colOff>389049</xdr:colOff>
      <xdr:row>26</xdr:row>
      <xdr:rowOff>53662</xdr:rowOff>
    </xdr:to>
    <xdr:pic>
      <xdr:nvPicPr>
        <xdr:cNvPr id="2" name="Picture 1">
          <a:extLst>
            <a:ext uri="{FF2B5EF4-FFF2-40B4-BE49-F238E27FC236}">
              <a16:creationId xmlns:a16="http://schemas.microsoft.com/office/drawing/2014/main" id="{DF46FD7C-6F67-4C43-AD1B-2A959E20E615}"/>
            </a:ext>
          </a:extLst>
        </xdr:cNvPr>
        <xdr:cNvPicPr>
          <a:picLocks noChangeAspect="1"/>
        </xdr:cNvPicPr>
      </xdr:nvPicPr>
      <xdr:blipFill>
        <a:blip xmlns:r="http://schemas.openxmlformats.org/officeDocument/2006/relationships" r:embed="rId1"/>
        <a:stretch>
          <a:fillRect/>
        </a:stretch>
      </xdr:blipFill>
      <xdr:spPr>
        <a:xfrm>
          <a:off x="142875" y="663665"/>
          <a:ext cx="10742724" cy="4504922"/>
        </a:xfrm>
        <a:prstGeom prst="rect">
          <a:avLst/>
        </a:prstGeom>
        <a:ln w="28575"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0</xdr:col>
      <xdr:colOff>496373</xdr:colOff>
      <xdr:row>50</xdr:row>
      <xdr:rowOff>187816</xdr:rowOff>
    </xdr:from>
    <xdr:to>
      <xdr:col>18</xdr:col>
      <xdr:colOff>586659</xdr:colOff>
      <xdr:row>70</xdr:row>
      <xdr:rowOff>107323</xdr:rowOff>
    </xdr:to>
    <xdr:pic>
      <xdr:nvPicPr>
        <xdr:cNvPr id="4" name="Picture 3">
          <a:extLst>
            <a:ext uri="{FF2B5EF4-FFF2-40B4-BE49-F238E27FC236}">
              <a16:creationId xmlns:a16="http://schemas.microsoft.com/office/drawing/2014/main" id="{1E98403B-C07D-4EE0-B4CF-8A68A25B09FD}"/>
            </a:ext>
          </a:extLst>
        </xdr:cNvPr>
        <xdr:cNvPicPr>
          <a:picLocks noChangeAspect="1"/>
        </xdr:cNvPicPr>
      </xdr:nvPicPr>
      <xdr:blipFill>
        <a:blip xmlns:r="http://schemas.openxmlformats.org/officeDocument/2006/relationships" r:embed="rId2"/>
        <a:stretch>
          <a:fillRect/>
        </a:stretch>
      </xdr:blipFill>
      <xdr:spPr>
        <a:xfrm>
          <a:off x="143948" y="10008091"/>
          <a:ext cx="10939261" cy="3729507"/>
        </a:xfrm>
        <a:prstGeom prst="rect">
          <a:avLst/>
        </a:prstGeom>
        <a:ln w="1905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0</xdr:col>
      <xdr:colOff>133679</xdr:colOff>
      <xdr:row>28</xdr:row>
      <xdr:rowOff>120740</xdr:rowOff>
    </xdr:from>
    <xdr:to>
      <xdr:col>18</xdr:col>
      <xdr:colOff>550035</xdr:colOff>
      <xdr:row>50</xdr:row>
      <xdr:rowOff>120739</xdr:rowOff>
    </xdr:to>
    <xdr:pic>
      <xdr:nvPicPr>
        <xdr:cNvPr id="5" name="Picture 4">
          <a:extLst>
            <a:ext uri="{FF2B5EF4-FFF2-40B4-BE49-F238E27FC236}">
              <a16:creationId xmlns:a16="http://schemas.microsoft.com/office/drawing/2014/main" id="{45FDCD4A-2F85-1DDA-2A6A-BC699470BD21}"/>
            </a:ext>
          </a:extLst>
        </xdr:cNvPr>
        <xdr:cNvPicPr>
          <a:picLocks noChangeAspect="1"/>
        </xdr:cNvPicPr>
      </xdr:nvPicPr>
      <xdr:blipFill>
        <a:blip xmlns:r="http://schemas.openxmlformats.org/officeDocument/2006/relationships" r:embed="rId3"/>
        <a:stretch>
          <a:fillRect/>
        </a:stretch>
      </xdr:blipFill>
      <xdr:spPr>
        <a:xfrm>
          <a:off x="133679" y="5674754"/>
          <a:ext cx="10826779" cy="413197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xdr:from>
      <xdr:col>2</xdr:col>
      <xdr:colOff>495300</xdr:colOff>
      <xdr:row>11</xdr:row>
      <xdr:rowOff>9525</xdr:rowOff>
    </xdr:from>
    <xdr:to>
      <xdr:col>2</xdr:col>
      <xdr:colOff>552450</xdr:colOff>
      <xdr:row>11</xdr:row>
      <xdr:rowOff>55244</xdr:rowOff>
    </xdr:to>
    <xdr:sp macro="" textlink="">
      <xdr:nvSpPr>
        <xdr:cNvPr id="2" name="Freeform 1">
          <a:extLst>
            <a:ext uri="{FF2B5EF4-FFF2-40B4-BE49-F238E27FC236}">
              <a16:creationId xmlns:a16="http://schemas.microsoft.com/office/drawing/2014/main" id="{8DDBBE4B-DC3F-4713-A2C5-4EE7801496F2}"/>
            </a:ext>
          </a:extLst>
        </xdr:cNvPr>
        <xdr:cNvSpPr/>
      </xdr:nvSpPr>
      <xdr:spPr>
        <a:xfrm>
          <a:off x="2314575" y="2105025"/>
          <a:ext cx="57150" cy="45719"/>
        </a:xfrm>
        <a:custGeom>
          <a:avLst/>
          <a:gdLst>
            <a:gd name="connsiteX0" fmla="*/ 66675 w 66675"/>
            <a:gd name="connsiteY0" fmla="*/ 0 h 95250"/>
            <a:gd name="connsiteX1" fmla="*/ 57150 w 66675"/>
            <a:gd name="connsiteY1" fmla="*/ 66675 h 95250"/>
            <a:gd name="connsiteX2" fmla="*/ 28575 w 66675"/>
            <a:gd name="connsiteY2" fmla="*/ 85725 h 95250"/>
            <a:gd name="connsiteX3" fmla="*/ 0 w 66675"/>
            <a:gd name="connsiteY3" fmla="*/ 95250 h 95250"/>
          </a:gdLst>
          <a:ahLst/>
          <a:cxnLst>
            <a:cxn ang="0">
              <a:pos x="connsiteX0" y="connsiteY0"/>
            </a:cxn>
            <a:cxn ang="0">
              <a:pos x="connsiteX1" y="connsiteY1"/>
            </a:cxn>
            <a:cxn ang="0">
              <a:pos x="connsiteX2" y="connsiteY2"/>
            </a:cxn>
            <a:cxn ang="0">
              <a:pos x="connsiteX3" y="connsiteY3"/>
            </a:cxn>
          </a:cxnLst>
          <a:rect l="l" t="t" r="r" b="b"/>
          <a:pathLst>
            <a:path w="66675" h="95250">
              <a:moveTo>
                <a:pt x="66675" y="0"/>
              </a:moveTo>
              <a:cubicBezTo>
                <a:pt x="63500" y="22225"/>
                <a:pt x="66268" y="46159"/>
                <a:pt x="57150" y="66675"/>
              </a:cubicBezTo>
              <a:cubicBezTo>
                <a:pt x="52501" y="77136"/>
                <a:pt x="38814" y="80605"/>
                <a:pt x="28575" y="85725"/>
              </a:cubicBezTo>
              <a:cubicBezTo>
                <a:pt x="19595" y="90215"/>
                <a:pt x="0" y="95250"/>
                <a:pt x="0" y="95250"/>
              </a:cubicBezTo>
            </a:path>
          </a:pathLst>
        </a:cu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lang="en-US" sz="1100"/>
        </a:p>
      </xdr:txBody>
    </xdr:sp>
    <xdr:clientData/>
  </xdr:twoCellAnchor>
  <xdr:twoCellAnchor>
    <xdr:from>
      <xdr:col>2</xdr:col>
      <xdr:colOff>495300</xdr:colOff>
      <xdr:row>11</xdr:row>
      <xdr:rowOff>9525</xdr:rowOff>
    </xdr:from>
    <xdr:to>
      <xdr:col>2</xdr:col>
      <xdr:colOff>552450</xdr:colOff>
      <xdr:row>11</xdr:row>
      <xdr:rowOff>55244</xdr:rowOff>
    </xdr:to>
    <xdr:sp macro="" textlink="">
      <xdr:nvSpPr>
        <xdr:cNvPr id="3" name="Freeform 3">
          <a:extLst>
            <a:ext uri="{FF2B5EF4-FFF2-40B4-BE49-F238E27FC236}">
              <a16:creationId xmlns:a16="http://schemas.microsoft.com/office/drawing/2014/main" id="{C81F5AFF-52AA-46C9-9702-4862FC34F8A5}"/>
            </a:ext>
          </a:extLst>
        </xdr:cNvPr>
        <xdr:cNvSpPr/>
      </xdr:nvSpPr>
      <xdr:spPr>
        <a:xfrm>
          <a:off x="2314575" y="2105025"/>
          <a:ext cx="57150" cy="45719"/>
        </a:xfrm>
        <a:custGeom>
          <a:avLst/>
          <a:gdLst>
            <a:gd name="connsiteX0" fmla="*/ 66675 w 66675"/>
            <a:gd name="connsiteY0" fmla="*/ 0 h 95250"/>
            <a:gd name="connsiteX1" fmla="*/ 57150 w 66675"/>
            <a:gd name="connsiteY1" fmla="*/ 66675 h 95250"/>
            <a:gd name="connsiteX2" fmla="*/ 28575 w 66675"/>
            <a:gd name="connsiteY2" fmla="*/ 85725 h 95250"/>
            <a:gd name="connsiteX3" fmla="*/ 0 w 66675"/>
            <a:gd name="connsiteY3" fmla="*/ 95250 h 95250"/>
          </a:gdLst>
          <a:ahLst/>
          <a:cxnLst>
            <a:cxn ang="0">
              <a:pos x="connsiteX0" y="connsiteY0"/>
            </a:cxn>
            <a:cxn ang="0">
              <a:pos x="connsiteX1" y="connsiteY1"/>
            </a:cxn>
            <a:cxn ang="0">
              <a:pos x="connsiteX2" y="connsiteY2"/>
            </a:cxn>
            <a:cxn ang="0">
              <a:pos x="connsiteX3" y="connsiteY3"/>
            </a:cxn>
          </a:cxnLst>
          <a:rect l="l" t="t" r="r" b="b"/>
          <a:pathLst>
            <a:path w="66675" h="95250">
              <a:moveTo>
                <a:pt x="66675" y="0"/>
              </a:moveTo>
              <a:cubicBezTo>
                <a:pt x="63500" y="22225"/>
                <a:pt x="66268" y="46159"/>
                <a:pt x="57150" y="66675"/>
              </a:cubicBezTo>
              <a:cubicBezTo>
                <a:pt x="52501" y="77136"/>
                <a:pt x="38814" y="80605"/>
                <a:pt x="28575" y="85725"/>
              </a:cubicBezTo>
              <a:cubicBezTo>
                <a:pt x="19595" y="90215"/>
                <a:pt x="0" y="95250"/>
                <a:pt x="0" y="95250"/>
              </a:cubicBezTo>
            </a:path>
          </a:pathLst>
        </a:cu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lang="en-US" sz="1100"/>
        </a:p>
      </xdr:txBody>
    </xdr:sp>
    <xdr:clientData/>
  </xdr:twoCellAnchor>
  <xdr:twoCellAnchor>
    <xdr:from>
      <xdr:col>2</xdr:col>
      <xdr:colOff>495300</xdr:colOff>
      <xdr:row>11</xdr:row>
      <xdr:rowOff>9525</xdr:rowOff>
    </xdr:from>
    <xdr:to>
      <xdr:col>2</xdr:col>
      <xdr:colOff>552450</xdr:colOff>
      <xdr:row>11</xdr:row>
      <xdr:rowOff>55244</xdr:rowOff>
    </xdr:to>
    <xdr:sp macro="" textlink="">
      <xdr:nvSpPr>
        <xdr:cNvPr id="4" name="Freeform 1">
          <a:extLst>
            <a:ext uri="{FF2B5EF4-FFF2-40B4-BE49-F238E27FC236}">
              <a16:creationId xmlns:a16="http://schemas.microsoft.com/office/drawing/2014/main" id="{91A70C48-20D3-45C9-9DC3-FD17AD6D7004}"/>
            </a:ext>
          </a:extLst>
        </xdr:cNvPr>
        <xdr:cNvSpPr/>
      </xdr:nvSpPr>
      <xdr:spPr>
        <a:xfrm>
          <a:off x="2314575" y="2105025"/>
          <a:ext cx="57150" cy="45719"/>
        </a:xfrm>
        <a:custGeom>
          <a:avLst/>
          <a:gdLst>
            <a:gd name="connsiteX0" fmla="*/ 66675 w 66675"/>
            <a:gd name="connsiteY0" fmla="*/ 0 h 95250"/>
            <a:gd name="connsiteX1" fmla="*/ 57150 w 66675"/>
            <a:gd name="connsiteY1" fmla="*/ 66675 h 95250"/>
            <a:gd name="connsiteX2" fmla="*/ 28575 w 66675"/>
            <a:gd name="connsiteY2" fmla="*/ 85725 h 95250"/>
            <a:gd name="connsiteX3" fmla="*/ 0 w 66675"/>
            <a:gd name="connsiteY3" fmla="*/ 95250 h 95250"/>
          </a:gdLst>
          <a:ahLst/>
          <a:cxnLst>
            <a:cxn ang="0">
              <a:pos x="connsiteX0" y="connsiteY0"/>
            </a:cxn>
            <a:cxn ang="0">
              <a:pos x="connsiteX1" y="connsiteY1"/>
            </a:cxn>
            <a:cxn ang="0">
              <a:pos x="connsiteX2" y="connsiteY2"/>
            </a:cxn>
            <a:cxn ang="0">
              <a:pos x="connsiteX3" y="connsiteY3"/>
            </a:cxn>
          </a:cxnLst>
          <a:rect l="l" t="t" r="r" b="b"/>
          <a:pathLst>
            <a:path w="66675" h="95250">
              <a:moveTo>
                <a:pt x="66675" y="0"/>
              </a:moveTo>
              <a:cubicBezTo>
                <a:pt x="63500" y="22225"/>
                <a:pt x="66268" y="46159"/>
                <a:pt x="57150" y="66675"/>
              </a:cubicBezTo>
              <a:cubicBezTo>
                <a:pt x="52501" y="77136"/>
                <a:pt x="38814" y="80605"/>
                <a:pt x="28575" y="85725"/>
              </a:cubicBezTo>
              <a:cubicBezTo>
                <a:pt x="19595" y="90215"/>
                <a:pt x="0" y="95250"/>
                <a:pt x="0" y="95250"/>
              </a:cubicBezTo>
            </a:path>
          </a:pathLst>
        </a:cu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lang="en-US" sz="1100"/>
        </a:p>
      </xdr:txBody>
    </xdr:sp>
    <xdr:clientData/>
  </xdr:twoCellAnchor>
  <xdr:twoCellAnchor>
    <xdr:from>
      <xdr:col>2</xdr:col>
      <xdr:colOff>495300</xdr:colOff>
      <xdr:row>11</xdr:row>
      <xdr:rowOff>9525</xdr:rowOff>
    </xdr:from>
    <xdr:to>
      <xdr:col>2</xdr:col>
      <xdr:colOff>552450</xdr:colOff>
      <xdr:row>11</xdr:row>
      <xdr:rowOff>55244</xdr:rowOff>
    </xdr:to>
    <xdr:sp macro="" textlink="">
      <xdr:nvSpPr>
        <xdr:cNvPr id="5" name="Freeform 3">
          <a:extLst>
            <a:ext uri="{FF2B5EF4-FFF2-40B4-BE49-F238E27FC236}">
              <a16:creationId xmlns:a16="http://schemas.microsoft.com/office/drawing/2014/main" id="{627B3A33-0716-4330-9088-E0E74BBCC7B3}"/>
            </a:ext>
          </a:extLst>
        </xdr:cNvPr>
        <xdr:cNvSpPr/>
      </xdr:nvSpPr>
      <xdr:spPr>
        <a:xfrm>
          <a:off x="2314575" y="2105025"/>
          <a:ext cx="57150" cy="45719"/>
        </a:xfrm>
        <a:custGeom>
          <a:avLst/>
          <a:gdLst>
            <a:gd name="connsiteX0" fmla="*/ 66675 w 66675"/>
            <a:gd name="connsiteY0" fmla="*/ 0 h 95250"/>
            <a:gd name="connsiteX1" fmla="*/ 57150 w 66675"/>
            <a:gd name="connsiteY1" fmla="*/ 66675 h 95250"/>
            <a:gd name="connsiteX2" fmla="*/ 28575 w 66675"/>
            <a:gd name="connsiteY2" fmla="*/ 85725 h 95250"/>
            <a:gd name="connsiteX3" fmla="*/ 0 w 66675"/>
            <a:gd name="connsiteY3" fmla="*/ 95250 h 95250"/>
          </a:gdLst>
          <a:ahLst/>
          <a:cxnLst>
            <a:cxn ang="0">
              <a:pos x="connsiteX0" y="connsiteY0"/>
            </a:cxn>
            <a:cxn ang="0">
              <a:pos x="connsiteX1" y="connsiteY1"/>
            </a:cxn>
            <a:cxn ang="0">
              <a:pos x="connsiteX2" y="connsiteY2"/>
            </a:cxn>
            <a:cxn ang="0">
              <a:pos x="connsiteX3" y="connsiteY3"/>
            </a:cxn>
          </a:cxnLst>
          <a:rect l="l" t="t" r="r" b="b"/>
          <a:pathLst>
            <a:path w="66675" h="95250">
              <a:moveTo>
                <a:pt x="66675" y="0"/>
              </a:moveTo>
              <a:cubicBezTo>
                <a:pt x="63500" y="22225"/>
                <a:pt x="66268" y="46159"/>
                <a:pt x="57150" y="66675"/>
              </a:cubicBezTo>
              <a:cubicBezTo>
                <a:pt x="52501" y="77136"/>
                <a:pt x="38814" y="80605"/>
                <a:pt x="28575" y="85725"/>
              </a:cubicBezTo>
              <a:cubicBezTo>
                <a:pt x="19595" y="90215"/>
                <a:pt x="0" y="95250"/>
                <a:pt x="0" y="95250"/>
              </a:cubicBezTo>
            </a:path>
          </a:pathLst>
        </a:cu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lang="en-US" sz="1100"/>
        </a:p>
      </xdr:txBody>
    </xdr: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1064\Desktop\RR\RR%20APRIL%202020\BP%20STATISTICS%202020\Copy%20of%20bp-stats-review-2020-all-data.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s://dghindianoida-my.sharepoint.com/Users/1064/Desktop/RR/RR%20APRIL%202020/BP%20STATISTICS%202020/Copy%20of%20bp-stats-review-2020-all-data.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10.197.32.76\Gas\Users\1064\Desktop\RR\RR%20APRIL%202020\BP%20STATISTICS%202020\Copy%20of%20bp-stats-review-2020-all-data.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10.197.32.76\Supply\Users\1064\Desktop\RR\RR%20APRIL%202020\BP%20STATISTICS%202020\Copy%20of%20bp-stats-review-2020-all-data.xlsx" TargetMode="External"/></Relationships>
</file>

<file path=xl/externalLinks/_rels/externalLink5.xml.rels><?xml version="1.0" encoding="UTF-8" standalone="yes"?>
<Relationships xmlns="http://schemas.openxmlformats.org/package/2006/relationships"><Relationship Id="rId1" Type="http://schemas.microsoft.com/office/2006/relationships/xlExternalLinkPath/xlPathMissing" Target="file:///\\cleaned" TargetMode="External"/></Relationships>
</file>

<file path=xl/externalLinks/_rels/externalLink6.xml.rels><?xml version="1.0" encoding="UTF-8" standalone="yes"?>
<Relationships xmlns="http://schemas.openxmlformats.org/package/2006/relationships"><Relationship Id="rId2" Type="http://schemas.openxmlformats.org/officeDocument/2006/relationships/externalLinkPath" Target="file:///X:\Ravindra%20Kumar\3.%20MRR\2025-26\03.2026\Master%20sheet-ARR_Marketing_Mar'26.xlsx" TargetMode="External"/><Relationship Id="rId1" Type="http://schemas.openxmlformats.org/officeDocument/2006/relationships/externalLinkPath" Target="file:///X:\Ravindra%20Kumar\3.%20MRR\2025-26\03.2026\Master%20sheet-ARR_Marketing_Mar'26.xlsx" TargetMode="External"/></Relationships>
</file>

<file path=xl/externalLinks/_rels/externalLink7.xml.rels><?xml version="1.0" encoding="UTF-8" standalone="yes"?>
<Relationships xmlns="http://schemas.openxmlformats.org/package/2006/relationships"><Relationship Id="rId2" Type="http://schemas.openxmlformats.org/officeDocument/2006/relationships/externalLinkPath" Target="file:///D:\Meeting%20on%20RR%20with%20Hon'ble%20DG_05.07.2023\lokesh\Copy%20of%203.12ABC_R_Lokesh%20sir%20final%20input_05.07.2023.xlsx" TargetMode="External"/><Relationship Id="rId1" Type="http://schemas.openxmlformats.org/officeDocument/2006/relationships/externalLinkPath" Target="file:///D:\Meeting%20on%20RR%20with%20Hon'ble%20DG_05.07.2023\lokesh\Copy%20of%203.12ABC_R_Lokesh%20sir%20final%20input_05.07.2023.xlsx" TargetMode="External"/></Relationships>
</file>

<file path=xl/externalLinks/_rels/externalLink8.xml.rels><?xml version="1.0" encoding="UTF-8" standalone="yes"?>
<Relationships xmlns="http://schemas.openxmlformats.org/package/2006/relationships"><Relationship Id="rId2" Type="http://schemas.openxmlformats.org/officeDocument/2006/relationships/externalLinkPath" Target="file:///Z:\2.New_Supply-Gas\8.%20Ready%20Reckoner\Bi-Annual%20Ready%20Reckoner\16_June%202025\RR_2024-25_Format%20-%20Gas.xlsx" TargetMode="External"/><Relationship Id="rId1" Type="http://schemas.openxmlformats.org/officeDocument/2006/relationships/externalLinkPath" Target="file:///W:\2.New_Supply-Gas\8.%20Ready%20Reckoner\Bi-Annual%20Ready%20Reckoner\16_June%202025\RR_2024-25_Format%20-%20Gas.xlsx" TargetMode="External"/></Relationships>
</file>

<file path=xl/externalLinks/_rels/externalLink9.xml.rels><?xml version="1.0" encoding="UTF-8" standalone="yes"?>
<Relationships xmlns="http://schemas.openxmlformats.org/package/2006/relationships"><Relationship Id="rId2" Type="http://schemas.openxmlformats.org/officeDocument/2006/relationships/externalLinkPath" Target="file:///Z:\Monthly%20Activities\Y2%20Data\2024-25\Sept%202024\POL%20segmentwise%20Time%20series%20September%2024.xlsx" TargetMode="External"/><Relationship Id="rId1" Type="http://schemas.openxmlformats.org/officeDocument/2006/relationships/externalLinkPath" Target="file:///Z:\Monthly%20Activities\Y2%20Data\2024-25\Sept%202024\POL%20segmentwise%20Time%20series%20September%2024.xlsx" TargetMode="External"/></Relationships>
</file>

<file path=xl/externalLinks/_rels/externalLink10.xml.rels><?xml version="1.0" encoding="UTF-8" standalone="yes"?>
<Relationships xmlns="http://schemas.openxmlformats.org/package/2006/relationships"><Relationship Id="rId2" Type="http://schemas.openxmlformats.org/officeDocument/2006/relationships/externalLinkPath" Target="file:///Z:\Monthly%20Activities\Monthly%20Ready%20Reckoner\2024-25\12-March%202025\Monthly%20RR%20March%202025_%20Final.xlsx" TargetMode="External"/><Relationship Id="rId1" Type="http://schemas.openxmlformats.org/officeDocument/2006/relationships/externalLinkPath" Target="file:///Z:\Monthly%20Activities\Monthly%20Ready%20Reckoner\2024-25\12-March%202025\Monthly%20RR%20March%202025_%20Final.xlsx" TargetMode="External"/></Relationships>
</file>

<file path=xl/externalLinks/_rels/externalLink11.xml.rels><?xml version="1.0" encoding="UTF-8" standalone="yes"?>
<Relationships xmlns="http://schemas.openxmlformats.org/package/2006/relationships"><Relationship Id="rId2" Type="http://schemas.openxmlformats.org/officeDocument/2006/relationships/externalLinkPath" Target="file:///Z:\Monthly%20Activities\Industry%20Consumption%20Report\FY2025-26\March%2026\Sector%20demand\Sectoral%20Charts%20Apr-Mar%2026.xlsx" TargetMode="External"/><Relationship Id="rId1" Type="http://schemas.openxmlformats.org/officeDocument/2006/relationships/externalLinkPath" Target="file:///Z:\Monthly%20Activities\Industry%20Consumption%20Report\FY2025-26\March%2026\Sector%20demand\Sectoral%20Charts%20Apr-Mar%2026.xlsx" TargetMode="External"/></Relationships>
</file>

<file path=xl/externalLinks/_rels/externalLink12.xml.rels><?xml version="1.0" encoding="UTF-8" standalone="yes"?>
<Relationships xmlns="http://schemas.openxmlformats.org/package/2006/relationships"><Relationship Id="rId2" Type="http://schemas.openxmlformats.org/officeDocument/2006/relationships/externalLinkPath" Target="file:///Z:\Half%20Yearly_Yearly%20Actitivities\2024-25\Not%20to%20use\Ready%20Reckoner_2024-25_In%20Process_02.xlsx" TargetMode="External"/><Relationship Id="rId1" Type="http://schemas.openxmlformats.org/officeDocument/2006/relationships/externalLinkPath" Target="file:///Z:\Half%20Yearly_Yearly%20Actitivities\2024-25\Not%20to%20use\Ready%20Reckoner_2024-25_In%20Process_02.xlsx" TargetMode="External"/></Relationships>
</file>

<file path=xl/externalLinks/_rels/externalLink13.xml.rels><?xml version="1.0" encoding="UTF-8" standalone="yes"?>
<Relationships xmlns="http://schemas.openxmlformats.org/package/2006/relationships"><Relationship Id="rId2" Type="http://schemas.openxmlformats.org/officeDocument/2006/relationships/externalLinkPath" Target="file:///X:\Monthly%20Activities\Industry%20Consumption%20Report\FY2025-26\March%2026\Sectoral%20Charts%20Naptha%20Bitumen%20Lubes%20Apr-Mar%2026%20for%20RR%20updated%2017072026.xlsx" TargetMode="External"/><Relationship Id="rId1" Type="http://schemas.openxmlformats.org/officeDocument/2006/relationships/externalLinkPath" Target="file:///X:\Monthly%20Activities\Industry%20Consumption%20Report\FY2025-26\March%2026\Sectoral%20Charts%20Naptha%20Bitumen%20Lubes%20Apr-Mar%2026%20for%20RR%20updated%2017072026.xlsx" TargetMode="External"/></Relationships>
</file>

<file path=xl/externalLinks/_rels/externalLink14.xml.rels><?xml version="1.0" encoding="UTF-8" standalone="yes"?>
<Relationships xmlns="http://schemas.openxmlformats.org/package/2006/relationships"><Relationship Id="rId2" Type="http://schemas.openxmlformats.org/officeDocument/2006/relationships/externalLinkPath" Target="file:///W:\Ravindra%20Kumar\Population_1.10.2025.xlsx" TargetMode="External"/><Relationship Id="rId1" Type="http://schemas.openxmlformats.org/officeDocument/2006/relationships/externalLinkPath" Target="file:///W:\Ravindra%20Kumar\Population_1.10.202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Primary Energy Consumption"/>
      <sheetName val="Primary Energy - Cons by fuel"/>
      <sheetName val="Primary Energy - Cons capita"/>
      <sheetName val="Carbon Dioxide Emissions"/>
      <sheetName val="Oil - Proved reserves"/>
      <sheetName val="Oil - Proved reserves history"/>
      <sheetName val="Oil Production - Barrels"/>
      <sheetName val="Oil Production - Tonnes"/>
      <sheetName val="Oil Production - Crude Conds"/>
      <sheetName val="Oil Production - NGLs"/>
      <sheetName val="Total Liquids - Consumption"/>
      <sheetName val="Oil Consumption - Barrels"/>
      <sheetName val="Oil Consumption - Tonnes"/>
      <sheetName val="Oil Consumption - EJ"/>
      <sheetName val="Oil - Regional Consumption "/>
      <sheetName val="Oil - Spot crude prices"/>
      <sheetName val="Oil - Crude prices since 1861"/>
      <sheetName val="Oil - Refinery throughput"/>
      <sheetName val="Oil - Refining capacity"/>
      <sheetName val="Oil - Regional refining margins"/>
      <sheetName val="Oil - Trade movements"/>
      <sheetName val="Oil - Inter-area movements "/>
      <sheetName val="Oil - Trade 2018 - 2019"/>
      <sheetName val="Gas - Proved reserves"/>
      <sheetName val="Gas - Proved reserves history "/>
      <sheetName val="Gas Production - Bcm"/>
      <sheetName val="Gas Production - Bcf"/>
      <sheetName val="Gas Production - EJ"/>
      <sheetName val="Gas Consumption - Bcm"/>
      <sheetName val="Gas Consumption - Bcf"/>
      <sheetName val="Gas Consumption - EJ"/>
      <sheetName val="Gas - Prices "/>
      <sheetName val="Gas - Inter-regional trade"/>
      <sheetName val="Gas - LNG imports"/>
      <sheetName val="Gas - LNG exports"/>
      <sheetName val="Gas - Trade movts LNG"/>
      <sheetName val="Gas - Trade movts - pipeline"/>
      <sheetName val="Coal - Reserves"/>
      <sheetName val="Coal Production - Tonnes"/>
      <sheetName val="Coal Production - EJ"/>
      <sheetName val="Coal Consumption - EJ"/>
      <sheetName val="Coal - Prices"/>
      <sheetName val="Coal - Trade movements"/>
      <sheetName val="Coal - Inter area movts"/>
      <sheetName val="Nuclear Generation - TWh"/>
      <sheetName val="Nuclear Consumption - EJ"/>
      <sheetName val="Hydro Generation - TWh"/>
      <sheetName val="Hydro Consumption - EJ"/>
      <sheetName val="Renewables Consumption - EJ"/>
      <sheetName val="Renewables Power - EJ"/>
      <sheetName val="Renewables Power - Twh"/>
      <sheetName val="Renewables Generation by source"/>
      <sheetName val="Solar Generation - TWh"/>
      <sheetName val="Solar Consumption - EJ"/>
      <sheetName val="Wind Generation -TWh"/>
      <sheetName val="Wind Consumption - EJ"/>
      <sheetName val="Geo Biomass Other - TWh"/>
      <sheetName val="Geo Biomass Other - EJ"/>
      <sheetName val="Biofuels Production - Kboed"/>
      <sheetName val="Biofuels Production - PJ"/>
      <sheetName val="Biofuels Consumption - Kboed"/>
      <sheetName val="Biofuels Consumption - PJ"/>
      <sheetName val="Electricity Generation "/>
      <sheetName val="Elec Gen by fuel"/>
      <sheetName val="Elec Gen from Oil"/>
      <sheetName val="Elec Gen from Gas"/>
      <sheetName val="Elec Gen from Coal"/>
      <sheetName val="Elec Gen from Other"/>
      <sheetName val="Cobalt Production-Reserves"/>
      <sheetName val="Lithium Production-Reserves"/>
      <sheetName val="Graphite Production-Reserves"/>
      <sheetName val="Rare Earth Production-Reserves"/>
      <sheetName val="Cobalt and Lithium - Prices"/>
      <sheetName val="Geothermal Capacity"/>
      <sheetName val="Solar Capacity"/>
      <sheetName val="Wind Capacity"/>
      <sheetName val="Approximate conversion factors"/>
      <sheetName val="Definitions"/>
      <sheetName val="Methodology"/>
      <sheetName val="Chart 7.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Primary Energy Consumption"/>
      <sheetName val="Primary Energy - Cons by fuel"/>
      <sheetName val="Primary Energy - Cons capita"/>
      <sheetName val="Carbon Dioxide Emissions"/>
      <sheetName val="Oil - Proved reserves"/>
      <sheetName val="Oil - Proved reserves history"/>
      <sheetName val="Oil Production - Barrels"/>
      <sheetName val="Oil Production - Tonnes"/>
      <sheetName val="Oil Production - Crude Conds"/>
      <sheetName val="Oil Production - NGLs"/>
      <sheetName val="Total Liquids - Consumption"/>
      <sheetName val="Oil Consumption - Barrels"/>
      <sheetName val="Oil Consumption - Tonnes"/>
      <sheetName val="Oil Consumption - EJ"/>
      <sheetName val="Oil - Regional Consumption "/>
      <sheetName val="Oil - Spot crude prices"/>
      <sheetName val="Oil - Crude prices since 1861"/>
      <sheetName val="Oil - Refinery throughput"/>
      <sheetName val="Oil - Refining capacity"/>
      <sheetName val="Oil - Regional refining margins"/>
      <sheetName val="Oil - Trade movements"/>
      <sheetName val="Oil - Inter-area movements "/>
      <sheetName val="Oil - Trade 2018 - 2019"/>
      <sheetName val="Gas - Proved reserves"/>
      <sheetName val="Gas - Proved reserves history "/>
      <sheetName val="Gas Production - Bcm"/>
      <sheetName val="Gas Production - Bcf"/>
      <sheetName val="Gas Production - EJ"/>
      <sheetName val="Gas Consumption - Bcm"/>
      <sheetName val="Gas Consumption - Bcf"/>
      <sheetName val="Gas Consumption - EJ"/>
      <sheetName val="Gas - Prices "/>
      <sheetName val="Gas - Inter-regional trade"/>
      <sheetName val="Gas - LNG imports"/>
      <sheetName val="Gas - LNG exports"/>
      <sheetName val="Gas - Trade movts LNG"/>
      <sheetName val="Gas - Trade movts - pipeline"/>
      <sheetName val="Coal - Reserves"/>
      <sheetName val="Coal Production - Tonnes"/>
      <sheetName val="Coal Production - EJ"/>
      <sheetName val="Coal Consumption - EJ"/>
      <sheetName val="Coal - Prices"/>
      <sheetName val="Coal - Trade movements"/>
      <sheetName val="Coal - Inter area movts"/>
      <sheetName val="Nuclear Generation - TWh"/>
      <sheetName val="Nuclear Consumption - EJ"/>
      <sheetName val="Hydro Generation - TWh"/>
      <sheetName val="Hydro Consumption - EJ"/>
      <sheetName val="Renewables Consumption - EJ"/>
      <sheetName val="Renewables Power - EJ"/>
      <sheetName val="Renewables Power - Twh"/>
      <sheetName val="Renewables Generation by source"/>
      <sheetName val="Solar Generation - TWh"/>
      <sheetName val="Solar Consumption - EJ"/>
      <sheetName val="Wind Generation -TWh"/>
      <sheetName val="Wind Consumption - EJ"/>
      <sheetName val="Geo Biomass Other - TWh"/>
      <sheetName val="Geo Biomass Other - EJ"/>
      <sheetName val="Biofuels Production - Kboed"/>
      <sheetName val="Biofuels Production - PJ"/>
      <sheetName val="Biofuels Consumption - Kboed"/>
      <sheetName val="Biofuels Consumption - PJ"/>
      <sheetName val="Electricity Generation "/>
      <sheetName val="Elec Gen by fuel"/>
      <sheetName val="Elec Gen from Oil"/>
      <sheetName val="Elec Gen from Gas"/>
      <sheetName val="Elec Gen from Coal"/>
      <sheetName val="Elec Gen from Other"/>
      <sheetName val="Cobalt Production-Reserves"/>
      <sheetName val="Lithium Production-Reserves"/>
      <sheetName val="Graphite Production-Reserves"/>
      <sheetName val="Rare Earth Production-Reserves"/>
      <sheetName val="Cobalt and Lithium - Prices"/>
      <sheetName val="Geothermal Capacity"/>
      <sheetName val="Solar Capacity"/>
      <sheetName val="Wind Capacity"/>
      <sheetName val="Approximate conversion factors"/>
      <sheetName val="Definitions"/>
      <sheetName val="Methodology"/>
      <sheetName val="Chart 7.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Primary Energy Consumption"/>
      <sheetName val="Primary Energy - Cons by fuel"/>
      <sheetName val="Primary Energy - Cons capita"/>
      <sheetName val="Carbon Dioxide Emissions"/>
      <sheetName val="Oil - Proved reserves"/>
      <sheetName val="Oil - Proved reserves history"/>
      <sheetName val="Oil Production - Barrels"/>
      <sheetName val="Oil Production - Tonnes"/>
      <sheetName val="Oil Production - Crude Conds"/>
      <sheetName val="Oil Production - NGLs"/>
      <sheetName val="Total Liquids - Consumption"/>
      <sheetName val="Oil Consumption - Barrels"/>
      <sheetName val="Oil Consumption - Tonnes"/>
      <sheetName val="Oil Consumption - EJ"/>
      <sheetName val="Oil - Regional Consumption "/>
      <sheetName val="Oil - Spot crude prices"/>
      <sheetName val="Oil - Crude prices since 1861"/>
      <sheetName val="Oil - Refinery throughput"/>
      <sheetName val="Oil - Refining capacity"/>
      <sheetName val="Oil - Regional refining margins"/>
      <sheetName val="Oil - Trade movements"/>
      <sheetName val="Oil - Inter-area movements "/>
      <sheetName val="Oil - Trade 2018 - 2019"/>
      <sheetName val="Gas - Proved reserves"/>
      <sheetName val="Gas - Proved reserves history "/>
      <sheetName val="Gas Production - Bcm"/>
      <sheetName val="Gas Production - Bcf"/>
      <sheetName val="Gas Production - EJ"/>
      <sheetName val="Gas Consumption - Bcm"/>
      <sheetName val="Gas Consumption - Bcf"/>
      <sheetName val="Gas Consumption - EJ"/>
      <sheetName val="Gas - Prices "/>
      <sheetName val="Gas - Inter-regional trade"/>
      <sheetName val="Gas - LNG imports"/>
      <sheetName val="Gas - LNG exports"/>
      <sheetName val="Gas - Trade movts LNG"/>
      <sheetName val="Gas - Trade movts - pipeline"/>
      <sheetName val="Coal - Reserves"/>
      <sheetName val="Coal Production - Tonnes"/>
      <sheetName val="Coal Production - EJ"/>
      <sheetName val="Coal Consumption - EJ"/>
      <sheetName val="Coal - Prices"/>
      <sheetName val="Coal - Trade movements"/>
      <sheetName val="Coal - Inter area movts"/>
      <sheetName val="Nuclear Generation - TWh"/>
      <sheetName val="Nuclear Consumption - EJ"/>
      <sheetName val="Hydro Generation - TWh"/>
      <sheetName val="Hydro Consumption - EJ"/>
      <sheetName val="Renewables Consumption - EJ"/>
      <sheetName val="Renewables Power - EJ"/>
      <sheetName val="Renewables Power - Twh"/>
      <sheetName val="Renewables Generation by source"/>
      <sheetName val="Solar Generation - TWh"/>
      <sheetName val="Solar Consumption - EJ"/>
      <sheetName val="Wind Generation -TWh"/>
      <sheetName val="Wind Consumption - EJ"/>
      <sheetName val="Geo Biomass Other - TWh"/>
      <sheetName val="Geo Biomass Other - EJ"/>
      <sheetName val="Biofuels Production - Kboed"/>
      <sheetName val="Biofuels Production - PJ"/>
      <sheetName val="Biofuels Consumption - Kboed"/>
      <sheetName val="Biofuels Consumption - PJ"/>
      <sheetName val="Electricity Generation "/>
      <sheetName val="Elec Gen by fuel"/>
      <sheetName val="Elec Gen from Oil"/>
      <sheetName val="Elec Gen from Gas"/>
      <sheetName val="Elec Gen from Coal"/>
      <sheetName val="Elec Gen from Other"/>
      <sheetName val="Cobalt Production-Reserves"/>
      <sheetName val="Lithium Production-Reserves"/>
      <sheetName val="Graphite Production-Reserves"/>
      <sheetName val="Rare Earth Production-Reserves"/>
      <sheetName val="Cobalt and Lithium - Prices"/>
      <sheetName val="Geothermal Capacity"/>
      <sheetName val="Solar Capacity"/>
      <sheetName val="Wind Capacity"/>
      <sheetName val="Approximate conversion factors"/>
      <sheetName val="Definitions"/>
      <sheetName val="Methodology"/>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Primary Energy Consumption"/>
      <sheetName val="Primary Energy - Cons by fuel"/>
      <sheetName val="Primary Energy - Cons capita"/>
      <sheetName val="Carbon Dioxide Emissions"/>
      <sheetName val="Oil - Proved reserves"/>
      <sheetName val="Oil - Proved reserves history"/>
      <sheetName val="Oil Production - Barrels"/>
      <sheetName val="Oil Production - Tonnes"/>
      <sheetName val="Oil Production - Crude Conds"/>
      <sheetName val="Oil Production - NGLs"/>
      <sheetName val="Total Liquids - Consumption"/>
      <sheetName val="Oil Consumption - Barrels"/>
      <sheetName val="Oil Consumption - Tonnes"/>
      <sheetName val="Oil Consumption - EJ"/>
      <sheetName val="Oil - Regional Consumption "/>
      <sheetName val="Oil - Spot crude prices"/>
      <sheetName val="Oil - Crude prices since 1861"/>
      <sheetName val="Oil - Refinery throughput"/>
      <sheetName val="Oil - Refining capacity"/>
      <sheetName val="Oil - Regional refining margins"/>
      <sheetName val="Oil - Trade movements"/>
      <sheetName val="Oil - Inter-area movements "/>
      <sheetName val="Oil - Trade 2018 - 2019"/>
      <sheetName val="Gas - Proved reserves"/>
      <sheetName val="Gas - Proved reserves history "/>
      <sheetName val="Gas Production - Bcm"/>
      <sheetName val="Gas Production - Bcf"/>
      <sheetName val="Gas Production - EJ"/>
      <sheetName val="Gas Consumption - Bcm"/>
      <sheetName val="Gas Consumption - Bcf"/>
      <sheetName val="Gas Consumption - EJ"/>
      <sheetName val="Gas - Prices "/>
      <sheetName val="Gas - Inter-regional trade"/>
      <sheetName val="Gas - LNG imports"/>
      <sheetName val="Gas - LNG exports"/>
      <sheetName val="Gas - Trade movts LNG"/>
      <sheetName val="Gas - Trade movts - pipeline"/>
      <sheetName val="Coal - Reserves"/>
      <sheetName val="Coal Production - Tonnes"/>
      <sheetName val="Coal Production - EJ"/>
      <sheetName val="Coal Consumption - EJ"/>
      <sheetName val="Coal - Prices"/>
      <sheetName val="Coal - Trade movements"/>
      <sheetName val="Coal - Inter area movts"/>
      <sheetName val="Nuclear Generation - TWh"/>
      <sheetName val="Nuclear Consumption - EJ"/>
      <sheetName val="Hydro Generation - TWh"/>
      <sheetName val="Hydro Consumption - EJ"/>
      <sheetName val="Renewables Consumption - EJ"/>
      <sheetName val="Renewables Power - EJ"/>
      <sheetName val="Renewables Power - Twh"/>
      <sheetName val="Renewables Generation by source"/>
      <sheetName val="Solar Generation - TWh"/>
      <sheetName val="Solar Consumption - EJ"/>
      <sheetName val="Wind Generation -TWh"/>
      <sheetName val="Wind Consumption - EJ"/>
      <sheetName val="Geo Biomass Other - TWh"/>
      <sheetName val="Geo Biomass Other - EJ"/>
      <sheetName val="Biofuels Production - Kboed"/>
      <sheetName val="Biofuels Production - PJ"/>
      <sheetName val="Biofuels Consumption - Kboed"/>
      <sheetName val="Biofuels Consumption - PJ"/>
      <sheetName val="Electricity Generation "/>
      <sheetName val="Elec Gen by fuel"/>
      <sheetName val="Elec Gen from Oil"/>
      <sheetName val="Elec Gen from Gas"/>
      <sheetName val="Elec Gen from Coal"/>
      <sheetName val="Elec Gen from Other"/>
      <sheetName val="Cobalt Production-Reserves"/>
      <sheetName val="Lithium Production-Reserves"/>
      <sheetName val="Graphite Production-Reserves"/>
      <sheetName val="Rare Earth Production-Reserves"/>
      <sheetName val="Cobalt and Lithium - Prices"/>
      <sheetName val="Geothermal Capacity"/>
      <sheetName val="Solar Capacity"/>
      <sheetName val="Wind Capacity"/>
      <sheetName val="Approximate conversion factors"/>
      <sheetName val="Definitions"/>
      <sheetName val="Methodology"/>
      <sheetName val="Chart 7.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ONTENTS"/>
      <sheetName val="1.1"/>
      <sheetName val="1.2"/>
      <sheetName val="Table 2.1 "/>
      <sheetName val="Table 2.2 "/>
      <sheetName val="Table 2.3"/>
      <sheetName val="Table 2.4"/>
      <sheetName val="2.5 &amp; 2.6 "/>
      <sheetName val="2.7 (A&amp;B)"/>
      <sheetName val=" 2.8"/>
      <sheetName val="2.9"/>
      <sheetName val="2.10"/>
      <sheetName val="3.1"/>
      <sheetName val="3.2"/>
      <sheetName val="3.3"/>
      <sheetName val="3.4-3.5"/>
      <sheetName val="3.4 Charts"/>
      <sheetName val="3.6"/>
      <sheetName val="3.7"/>
      <sheetName val="3.8"/>
      <sheetName val="3.9, 3.10 &amp; 3.11"/>
      <sheetName val="3.12"/>
      <sheetName val="Ind_ref_map"/>
      <sheetName val="Ref.flow dia."/>
      <sheetName val="4.1, 4.2 &amp; 4.3"/>
      <sheetName val="4.4 &amp; 4.5"/>
      <sheetName val="4.6"/>
      <sheetName val="4.7"/>
      <sheetName val="4.8 "/>
      <sheetName val="4.9"/>
      <sheetName val="4.10"/>
      <sheetName val="4.11"/>
      <sheetName val="4.12"/>
      <sheetName val="Map-Pipeline network"/>
      <sheetName val="5.1"/>
      <sheetName val="5.2"/>
      <sheetName val="5.3"/>
      <sheetName val="6.1"/>
      <sheetName val="6.1 chart"/>
      <sheetName val="6.2."/>
      <sheetName val="6.3"/>
      <sheetName val="6.4"/>
      <sheetName val="6.5 chart"/>
      <sheetName val="6.5"/>
      <sheetName val="6.6"/>
      <sheetName val="6.6 chart"/>
      <sheetName val="6.7 "/>
      <sheetName val="6.7 Charts"/>
      <sheetName val="Charts"/>
      <sheetName val="6.8"/>
      <sheetName val="7.1"/>
      <sheetName val="7.2"/>
      <sheetName val="7.3"/>
      <sheetName val="7.4"/>
      <sheetName val="7.5"/>
      <sheetName val="8.1"/>
      <sheetName val="8.1 graph"/>
      <sheetName val="8.2 8.3 8.4 8.5"/>
      <sheetName val="8.6 8.7 8.8"/>
      <sheetName val="8.9"/>
      <sheetName val="8.10 8.11"/>
      <sheetName val="8.12"/>
      <sheetName val="8.13"/>
      <sheetName val="8.14,8.15"/>
      <sheetName val="8.16"/>
      <sheetName val="8.17"/>
      <sheetName val="8.18"/>
      <sheetName val="8.19"/>
      <sheetName val="8.20"/>
      <sheetName val="8.21"/>
      <sheetName val="8.22"/>
      <sheetName val="8.23"/>
      <sheetName val="8.24"/>
      <sheetName val="9.1, 9.2,9.3 &amp; 9.4 "/>
      <sheetName val="9.5 &amp; 9.6"/>
      <sheetName val="Abreviations"/>
      <sheetName val="Primary Energy Consumption"/>
      <sheetName val="Primary Energy - Cons by fuel"/>
      <sheetName val="Primary Energy - Cons capita"/>
      <sheetName val="Carbon Dioxide Emissions"/>
      <sheetName val="Oil - Proved reserves"/>
      <sheetName val="Oil - Proved reserves history"/>
      <sheetName val="Oil Production - Barrels"/>
      <sheetName val="Oil Production - Tonnes"/>
      <sheetName val="Oil Production - Crude Conds"/>
      <sheetName val="Oil Production - NGLs"/>
      <sheetName val="Total Liquids - Consumption"/>
      <sheetName val="Oil Consumption - Barrels"/>
      <sheetName val="Oil Consumption - Tonnes"/>
      <sheetName val="Oil Consumption - EJ"/>
      <sheetName val="Oil - Regional Consumption "/>
      <sheetName val="Oil - Spot crude prices"/>
      <sheetName val="Oil - Crude prices since 1861"/>
      <sheetName val="Oil - Refinery throughput"/>
      <sheetName val="Oil - Refining capacity"/>
      <sheetName val="Oil - Regional refining margins"/>
      <sheetName val="Oil - Trade movements"/>
      <sheetName val="Oil - Inter-area movements "/>
      <sheetName val="Oil - Trade 2018 - 2019"/>
      <sheetName val="Gas - Proved reserves"/>
      <sheetName val="Gas - Proved reserves history "/>
      <sheetName val="Gas Production - Bcm"/>
      <sheetName val="Gas Production - Bcf"/>
      <sheetName val="Gas Production - EJ"/>
      <sheetName val="Gas Consumption - Bcm"/>
      <sheetName val="Gas Consumption - Bcf"/>
      <sheetName val="Gas Consumption - EJ"/>
      <sheetName val="Gas - Prices "/>
      <sheetName val="Gas - Inter-regional trade"/>
      <sheetName val="Gas - LNG imports"/>
      <sheetName val="Gas - LNG exports"/>
      <sheetName val="Gas - Trade movts LNG"/>
      <sheetName val="Gas - Trade movts - pipeline"/>
      <sheetName val="Coal - Reserves"/>
      <sheetName val="Coal Production - Tonnes"/>
      <sheetName val="Coal Production - EJ"/>
      <sheetName val="Coal Consumption - EJ"/>
      <sheetName val="Coal - Prices"/>
      <sheetName val="Coal - Trade movements"/>
      <sheetName val="Coal - Inter area movts"/>
      <sheetName val="Nuclear Generation - TWh"/>
      <sheetName val="Nuclear Consumption - EJ"/>
      <sheetName val="Hydro Generation - TWh"/>
      <sheetName val="Hydro Consumption - EJ"/>
      <sheetName val="Renewables Consumption - EJ"/>
      <sheetName val="Renewables Power - EJ"/>
      <sheetName val="Renewables Power - Twh"/>
      <sheetName val="Renewables Generation by source"/>
      <sheetName val="Solar Generation - TWh"/>
      <sheetName val="Solar Consumption - EJ"/>
      <sheetName val="Wind Generation -TWh"/>
      <sheetName val="Wind Consumption - EJ"/>
      <sheetName val="Geo Biomass Other - TWh"/>
      <sheetName val="Geo Biomass Other - EJ"/>
      <sheetName val="Biofuels Production - Kboed"/>
      <sheetName val="Biofuels Production - PJ"/>
      <sheetName val="Biofuels Consumption - Kboed"/>
      <sheetName val="Biofuels Consumption - PJ"/>
      <sheetName val="Electricity Generation "/>
      <sheetName val="Elec Gen by fuel"/>
      <sheetName val="Elec Gen from Oil"/>
      <sheetName val="Elec Gen from Gas"/>
      <sheetName val="Elec Gen from Coal"/>
      <sheetName val="Elec Gen from Other"/>
      <sheetName val="Cobalt Production-Reserves"/>
      <sheetName val="Lithium Production-Reserves"/>
      <sheetName val="Graphite Production-Reserves"/>
      <sheetName val="Rare Earth Production-Reserves"/>
      <sheetName val="Cobalt and Lithium - Prices"/>
      <sheetName val="Geothermal Capacity"/>
      <sheetName val="Solar Capacity"/>
      <sheetName val="Wind Capacity"/>
      <sheetName val="Approximate conversion factors"/>
      <sheetName val="Definitions"/>
      <sheetName val="Methodology"/>
      <sheetName val="Chart 7.3"/>
      <sheetName val="3.6_PNG"/>
      <sheetName val="3.8_CNG"/>
      <sheetName val="Map of Ref"/>
      <sheetName val="4.7 &amp; 4.8"/>
      <sheetName val="4.9 "/>
      <sheetName val="4.13"/>
      <sheetName val="8.14 &amp; 8.15"/>
      <sheetName val="8.18 "/>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refreshError="1"/>
      <sheetData sheetId="156"/>
      <sheetData sheetId="157"/>
      <sheetData sheetId="158"/>
      <sheetData sheetId="159"/>
      <sheetData sheetId="160"/>
      <sheetData sheetId="161"/>
      <sheetData sheetId="162"/>
      <sheetData sheetId="163"/>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Active LPG Domestic Customers"/>
      <sheetName val="LPG Coverage"/>
      <sheetName val="PMUY"/>
      <sheetName val="MRR formula"/>
      <sheetName val="ND Customers"/>
      <sheetName val="LPG Distributors"/>
      <sheetName val="ALDS"/>
      <sheetName val="BP"/>
      <sheetName val="table 15 LPGcons 16 LPG mktg"/>
      <sheetName val="graphs"/>
      <sheetName val="data for Table 16"/>
      <sheetName val="Table 17 n graphs"/>
      <sheetName val="Population_2023"/>
      <sheetName val="Active Customer Working"/>
      <sheetName val="LPG Coverage working"/>
      <sheetName val="PMUY Working"/>
      <sheetName val="LPG distributor Working"/>
      <sheetName val="ALDS Working"/>
      <sheetName val="BP Working"/>
    </sheetNames>
    <sheetDataSet>
      <sheetData sheetId="0"/>
      <sheetData sheetId="1"/>
      <sheetData sheetId="2"/>
      <sheetData sheetId="3"/>
      <sheetData sheetId="4"/>
      <sheetData sheetId="5"/>
      <sheetData sheetId="6"/>
      <sheetData sheetId="7"/>
      <sheetData sheetId="8"/>
      <sheetData sheetId="9">
        <row r="19">
          <cell r="B19">
            <v>2015</v>
          </cell>
          <cell r="C19">
            <v>2016</v>
          </cell>
          <cell r="D19">
            <v>2017</v>
          </cell>
          <cell r="E19" t="str">
            <v>2018</v>
          </cell>
          <cell r="F19">
            <v>2019</v>
          </cell>
          <cell r="G19">
            <v>2020</v>
          </cell>
          <cell r="H19">
            <v>2021</v>
          </cell>
          <cell r="I19">
            <v>2022</v>
          </cell>
          <cell r="J19">
            <v>2023</v>
          </cell>
          <cell r="K19">
            <v>2024</v>
          </cell>
          <cell r="L19">
            <v>2025</v>
          </cell>
          <cell r="M19">
            <v>2026</v>
          </cell>
        </row>
        <row r="20">
          <cell r="A20" t="str">
            <v>LPG Active Domstic Customers (in Lacs)</v>
          </cell>
          <cell r="B20">
            <v>14.86</v>
          </cell>
          <cell r="C20">
            <v>16.63</v>
          </cell>
          <cell r="D20">
            <v>19.88</v>
          </cell>
          <cell r="E20">
            <v>22.426596700000001</v>
          </cell>
          <cell r="F20">
            <v>26.536522500000004</v>
          </cell>
          <cell r="G20">
            <v>27.87</v>
          </cell>
          <cell r="H20">
            <v>28.948314499999995</v>
          </cell>
          <cell r="I20">
            <v>30.5</v>
          </cell>
          <cell r="J20">
            <v>31.403278100000001</v>
          </cell>
          <cell r="K20">
            <v>32.4218434</v>
          </cell>
          <cell r="L20">
            <v>32.97</v>
          </cell>
          <cell r="M20">
            <v>33.392099999999999</v>
          </cell>
        </row>
      </sheetData>
      <sheetData sheetId="10"/>
      <sheetData sheetId="11"/>
      <sheetData sheetId="12"/>
      <sheetData sheetId="13"/>
      <sheetData sheetId="14"/>
      <sheetData sheetId="15"/>
      <sheetData sheetId="16"/>
      <sheetData sheetId="17"/>
      <sheetData sheetId="18"/>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3.12ABC"/>
    </sheetNames>
    <sheetDataSet>
      <sheetData sheetId="0">
        <row r="15">
          <cell r="D15" t="str">
            <v xml:space="preserve">CNG </v>
          </cell>
        </row>
        <row r="25">
          <cell r="D25" t="str">
            <v xml:space="preserve">CNG </v>
          </cell>
          <cell r="E25" t="str">
            <v>Domestic (PNG)</v>
          </cell>
          <cell r="F25" t="str">
            <v>Commercial (PNG)</v>
          </cell>
          <cell r="G25" t="str">
            <v>Industrial (PNG)</v>
          </cell>
        </row>
        <row r="26">
          <cell r="C26" t="str">
            <v>October-2020 to March 2021</v>
          </cell>
          <cell r="D26">
            <v>39.084396216822377</v>
          </cell>
          <cell r="E26">
            <v>7.9629367513628297</v>
          </cell>
          <cell r="F26">
            <v>2.8017283497308432</v>
          </cell>
          <cell r="G26">
            <v>50.150938682083968</v>
          </cell>
        </row>
        <row r="27">
          <cell r="C27" t="str">
            <v>April-2021 to September 2021</v>
          </cell>
          <cell r="D27">
            <v>43.560678403088176</v>
          </cell>
          <cell r="E27">
            <v>8.0820781708272289</v>
          </cell>
          <cell r="F27">
            <v>1.60930473212926</v>
          </cell>
          <cell r="G27">
            <v>46.747935403394465</v>
          </cell>
        </row>
        <row r="28">
          <cell r="C28" t="str">
            <v>October 2021 to March 2022</v>
          </cell>
          <cell r="D28">
            <v>49.860309881415169</v>
          </cell>
          <cell r="E28">
            <v>8.0965834919684951</v>
          </cell>
          <cell r="F28">
            <v>1.9602910193516585</v>
          </cell>
          <cell r="G28">
            <v>40.082815607264685</v>
          </cell>
        </row>
        <row r="29">
          <cell r="C29" t="str">
            <v>April-2022 to September 2022</v>
          </cell>
          <cell r="D29">
            <v>55.225633041108203</v>
          </cell>
          <cell r="E29">
            <v>7.496939290259454</v>
          </cell>
          <cell r="F29">
            <v>1.9568410973250145</v>
          </cell>
          <cell r="G29">
            <v>35.320586571307267</v>
          </cell>
        </row>
        <row r="30">
          <cell r="C30" t="str">
            <v>October-2022 to March 2023</v>
          </cell>
          <cell r="D30">
            <v>58.335671296088087</v>
          </cell>
          <cell r="E30">
            <v>8.7364627293862149</v>
          </cell>
          <cell r="F30">
            <v>2.0744348185856851</v>
          </cell>
          <cell r="G30">
            <v>30.853431139438044</v>
          </cell>
        </row>
      </sheetData>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 2.8 &amp; 2.9 &amp; 2.10"/>
      <sheetName val="CH 3 NG"/>
      <sheetName val="3.1"/>
      <sheetName val="3.2"/>
      <sheetName val="3.3"/>
      <sheetName val="3.4+3.5"/>
      <sheetName val="3.4+3.5 Grap"/>
      <sheetName val="3.5A"/>
      <sheetName val="3.6"/>
      <sheetName val="3.7 "/>
      <sheetName val="3.8"/>
      <sheetName val="3.9 &amp; 3.10"/>
      <sheetName val="3.11"/>
      <sheetName val="3.12"/>
      <sheetName val="3.12ABC"/>
      <sheetName val="NG Sectoral"/>
      <sheetName val="5.1"/>
      <sheetName val="5.1 CHART_NEW"/>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5">
          <cell r="C5" t="str">
            <v>AGIL</v>
          </cell>
          <cell r="D5">
            <v>106.71299999999999</v>
          </cell>
        </row>
        <row r="6">
          <cell r="C6" t="str">
            <v>GAIL</v>
          </cell>
          <cell r="D6">
            <v>15187</v>
          </cell>
        </row>
        <row r="7">
          <cell r="C7" t="str">
            <v>GGL</v>
          </cell>
          <cell r="D7">
            <v>73.2</v>
          </cell>
        </row>
        <row r="8">
          <cell r="C8" t="str">
            <v>GIGL</v>
          </cell>
          <cell r="D8">
            <v>1934.42</v>
          </cell>
        </row>
        <row r="9">
          <cell r="C9" t="str">
            <v>PIL</v>
          </cell>
          <cell r="D9">
            <v>1485</v>
          </cell>
        </row>
        <row r="10">
          <cell r="C10" t="str">
            <v>IOCL</v>
          </cell>
          <cell r="D10">
            <v>1659</v>
          </cell>
        </row>
        <row r="11">
          <cell r="C11" t="str">
            <v>GITL</v>
          </cell>
          <cell r="D11">
            <v>2042</v>
          </cell>
        </row>
        <row r="12">
          <cell r="C12" t="str">
            <v>RGPL</v>
          </cell>
          <cell r="D12">
            <v>304</v>
          </cell>
        </row>
        <row r="13">
          <cell r="C13" t="str">
            <v>GSPL</v>
          </cell>
          <cell r="D13">
            <v>2715</v>
          </cell>
        </row>
        <row r="14">
          <cell r="C14" t="str">
            <v>ONGC</v>
          </cell>
          <cell r="D14">
            <v>24</v>
          </cell>
        </row>
      </sheetData>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 val="TMT"/>
      <sheetName val="BBL"/>
      <sheetName val="Data"/>
      <sheetName val="Pivot"/>
      <sheetName val="Conversion"/>
    </sheetNames>
    <sheetDataSet>
      <sheetData sheetId="0">
        <row r="1">
          <cell r="A1" t="str">
            <v>POL CONSUMPTION REPORT-SEPTEMBER 2024</v>
          </cell>
          <cell r="B1"/>
          <cell r="C1"/>
          <cell r="D1"/>
          <cell r="E1"/>
          <cell r="F1"/>
          <cell r="G1"/>
          <cell r="H1"/>
          <cell r="I1"/>
        </row>
        <row r="2">
          <cell r="A2" t="str">
            <v>Product</v>
          </cell>
          <cell r="B2" t="str">
            <v>September</v>
          </cell>
          <cell r="C2"/>
          <cell r="D2"/>
          <cell r="E2"/>
          <cell r="F2" t="str">
            <v>April-September</v>
          </cell>
          <cell r="G2"/>
          <cell r="H2"/>
          <cell r="I2"/>
        </row>
        <row r="3">
          <cell r="A3"/>
          <cell r="B3">
            <v>2023</v>
          </cell>
          <cell r="C3">
            <v>2024</v>
          </cell>
          <cell r="D3" t="str">
            <v>% share of</v>
          </cell>
          <cell r="E3" t="str">
            <v>Growth (%)</v>
          </cell>
          <cell r="F3" t="str">
            <v>2023-24</v>
          </cell>
          <cell r="G3" t="str">
            <v>2024-25</v>
          </cell>
          <cell r="H3" t="str">
            <v>Growth (%)</v>
          </cell>
          <cell r="I3" t="str">
            <v>% share of</v>
          </cell>
        </row>
        <row r="4">
          <cell r="A4"/>
          <cell r="B4"/>
          <cell r="C4"/>
          <cell r="D4" t="str">
            <v>Sept'24</v>
          </cell>
          <cell r="E4"/>
          <cell r="F4"/>
          <cell r="G4"/>
          <cell r="H4"/>
          <cell r="I4" t="str">
            <v>Apr-Sept'24</v>
          </cell>
        </row>
        <row r="5">
          <cell r="A5" t="str">
            <v>(A) Sensitive Products                                                                                                                                                                                             Unit-TMT</v>
          </cell>
          <cell r="B5"/>
          <cell r="C5"/>
          <cell r="D5"/>
          <cell r="E5"/>
          <cell r="F5"/>
          <cell r="G5"/>
          <cell r="H5"/>
          <cell r="I5"/>
        </row>
        <row r="6">
          <cell r="A6" t="str">
            <v>LPG</v>
          </cell>
          <cell r="B6">
            <v>2551.1067596199991</v>
          </cell>
          <cell r="C6">
            <v>2590.88</v>
          </cell>
          <cell r="D6">
            <v>14.461457398402299</v>
          </cell>
          <cell r="E6">
            <v>1.5590582491312546</v>
          </cell>
          <cell r="F6">
            <v>14135.363279444999</v>
          </cell>
          <cell r="G6">
            <v>14981.439999999999</v>
          </cell>
          <cell r="H6">
            <v>5.9855321991287269</v>
          </cell>
          <cell r="I6">
            <v>12.725404022472024</v>
          </cell>
        </row>
        <row r="7">
          <cell r="A7" t="str">
            <v>SKO</v>
          </cell>
          <cell r="B7">
            <v>31.736556692607007</v>
          </cell>
          <cell r="C7">
            <v>36.33</v>
          </cell>
          <cell r="D7">
            <v>0.20278235475358006</v>
          </cell>
          <cell r="E7">
            <v>14.473666289270227</v>
          </cell>
          <cell r="F7">
            <v>256.59092702490273</v>
          </cell>
          <cell r="G7">
            <v>204.92999999999995</v>
          </cell>
          <cell r="H7">
            <v>-20.13357511268859</v>
          </cell>
          <cell r="I7">
            <v>0.17406985218545021</v>
          </cell>
        </row>
        <row r="8">
          <cell r="A8" t="str">
            <v>Sub Total</v>
          </cell>
          <cell r="B8">
            <v>2582.843316312606</v>
          </cell>
          <cell r="C8">
            <v>2627.21</v>
          </cell>
          <cell r="D8">
            <v>14.664239753155877</v>
          </cell>
          <cell r="E8">
            <v>1.7177458426217669</v>
          </cell>
          <cell r="F8">
            <v>14391.954206469902</v>
          </cell>
          <cell r="G8">
            <v>15186.369999999999</v>
          </cell>
          <cell r="H8">
            <v>5.5198604868612478</v>
          </cell>
          <cell r="I8">
            <v>12.899473874657474</v>
          </cell>
        </row>
        <row r="9">
          <cell r="A9" t="str">
            <v>(B) Major Decontrolled Product</v>
          </cell>
          <cell r="B9"/>
          <cell r="C9"/>
          <cell r="D9"/>
          <cell r="E9"/>
          <cell r="F9"/>
          <cell r="G9"/>
          <cell r="H9"/>
          <cell r="I9"/>
        </row>
        <row r="10">
          <cell r="A10" t="str">
            <v>HSD</v>
          </cell>
          <cell r="B10">
            <v>6493.0963224536335</v>
          </cell>
          <cell r="C10">
            <v>6372.95</v>
          </cell>
          <cell r="D10">
            <v>35.571753584553484</v>
          </cell>
          <cell r="E10">
            <v>-1.850370246906067</v>
          </cell>
          <cell r="F10">
            <v>43989.554839267155</v>
          </cell>
          <cell r="G10">
            <v>44387.729999999996</v>
          </cell>
          <cell r="H10">
            <v>0.90515842269313396</v>
          </cell>
          <cell r="I10">
            <v>37.703438246951031</v>
          </cell>
        </row>
        <row r="11">
          <cell r="A11" t="str">
            <v>MS</v>
          </cell>
          <cell r="B11">
            <v>3058.1433092633133</v>
          </cell>
          <cell r="C11">
            <v>3148.55</v>
          </cell>
          <cell r="D11">
            <v>17.574191661419889</v>
          </cell>
          <cell r="E11">
            <v>2.9562607632820601</v>
          </cell>
          <cell r="F11">
            <v>18513.617965315723</v>
          </cell>
          <cell r="G11">
            <v>19849.66</v>
          </cell>
          <cell r="H11">
            <v>7.2165366984847594</v>
          </cell>
          <cell r="I11">
            <v>16.860524970143192</v>
          </cell>
        </row>
        <row r="12">
          <cell r="A12" t="str">
            <v>Naphtha</v>
          </cell>
          <cell r="B12">
            <v>1026.5675160000001</v>
          </cell>
          <cell r="C12">
            <v>1033.43</v>
          </cell>
          <cell r="D12">
            <v>5.7682732968068331</v>
          </cell>
          <cell r="E12">
            <v>0.66848832571086803</v>
          </cell>
          <cell r="F12">
            <v>6603.3805929699993</v>
          </cell>
          <cell r="G12">
            <v>6749.64</v>
          </cell>
          <cell r="H12">
            <v>2.214917116631284</v>
          </cell>
          <cell r="I12">
            <v>5.7332203050065997</v>
          </cell>
        </row>
        <row r="13">
          <cell r="A13" t="str">
            <v>ATF</v>
          </cell>
          <cell r="B13">
            <v>657.26156090140614</v>
          </cell>
          <cell r="C13">
            <v>725.94</v>
          </cell>
          <cell r="D13">
            <v>4.0519631877185223</v>
          </cell>
          <cell r="E13">
            <v>10.449179319783184</v>
          </cell>
          <cell r="F13">
            <v>3966.130147013369</v>
          </cell>
          <cell r="G13">
            <v>4377.16</v>
          </cell>
          <cell r="H13">
            <v>10.363498870458159</v>
          </cell>
          <cell r="I13">
            <v>3.7180090479288803</v>
          </cell>
        </row>
        <row r="14">
          <cell r="A14" t="str">
            <v>Bitumen</v>
          </cell>
          <cell r="B14">
            <v>499.02093199999979</v>
          </cell>
          <cell r="C14">
            <v>501.34</v>
          </cell>
          <cell r="D14">
            <v>2.7983183521100967</v>
          </cell>
          <cell r="E14">
            <v>0.46472359199556479</v>
          </cell>
          <cell r="F14">
            <v>4006.9027249999999</v>
          </cell>
          <cell r="G14">
            <v>3836.71</v>
          </cell>
          <cell r="H14">
            <v>-4.247488314056838</v>
          </cell>
          <cell r="I14">
            <v>3.2589447254108177</v>
          </cell>
        </row>
        <row r="15">
          <cell r="A15" t="str">
            <v>FO/LSHS</v>
          </cell>
          <cell r="B15">
            <v>538.11466772730887</v>
          </cell>
          <cell r="C15">
            <v>571.14</v>
          </cell>
          <cell r="D15">
            <v>3.1879194630872476</v>
          </cell>
          <cell r="E15">
            <v>6.1372295262218728</v>
          </cell>
          <cell r="F15">
            <v>3304.6629163997595</v>
          </cell>
          <cell r="G15">
            <v>3317.96</v>
          </cell>
          <cell r="H15">
            <v>0.40237337170616172</v>
          </cell>
          <cell r="I15">
            <v>2.8183126275178672</v>
          </cell>
        </row>
        <row r="16">
          <cell r="A16" t="str">
            <v>Lubes+Greases</v>
          </cell>
          <cell r="B16">
            <v>340.04666744281678</v>
          </cell>
          <cell r="C16">
            <v>364.48</v>
          </cell>
          <cell r="D16">
            <v>2.0344099273488814</v>
          </cell>
          <cell r="E16">
            <v>7.1852880491152007</v>
          </cell>
          <cell r="F16">
            <v>1991.4956484837862</v>
          </cell>
          <cell r="G16">
            <v>2324.3000000000002</v>
          </cell>
          <cell r="H16">
            <v>16.711276862171033</v>
          </cell>
          <cell r="I16">
            <v>1.9742866219423318</v>
          </cell>
        </row>
        <row r="17">
          <cell r="A17" t="str">
            <v>LDO</v>
          </cell>
          <cell r="B17">
            <v>62.524923242320831</v>
          </cell>
          <cell r="C17">
            <v>71.09</v>
          </cell>
          <cell r="D17">
            <v>0.39680147534907806</v>
          </cell>
          <cell r="E17">
            <v>13.698660171855735</v>
          </cell>
          <cell r="F17">
            <v>396.65167644368603</v>
          </cell>
          <cell r="G17">
            <v>390.22</v>
          </cell>
          <cell r="H17">
            <v>-1.6214923131931158</v>
          </cell>
          <cell r="I17">
            <v>0.33145726696826433</v>
          </cell>
        </row>
        <row r="18">
          <cell r="A18" t="str">
            <v>Sub Total</v>
          </cell>
          <cell r="B18">
            <v>12674.775899030799</v>
          </cell>
          <cell r="C18">
            <v>12788.92</v>
          </cell>
          <cell r="D18">
            <v>71.383630948394028</v>
          </cell>
          <cell r="E18">
            <v>0.90056109771478532</v>
          </cell>
          <cell r="F18">
            <v>82772.396510893464</v>
          </cell>
          <cell r="G18">
            <v>85233.380000000019</v>
          </cell>
          <cell r="H18">
            <v>2.9731934713073969</v>
          </cell>
          <cell r="I18">
            <v>72.398193811869007</v>
          </cell>
        </row>
        <row r="19">
          <cell r="A19" t="str">
            <v>(C) Other Minor Decontrolled Products</v>
          </cell>
          <cell r="B19"/>
          <cell r="C19"/>
          <cell r="D19"/>
          <cell r="E19"/>
          <cell r="F19"/>
          <cell r="G19"/>
          <cell r="H19"/>
          <cell r="I19"/>
        </row>
        <row r="20">
          <cell r="A20" t="str">
            <v>Pet.Coke</v>
          </cell>
          <cell r="B20">
            <v>1500.014046</v>
          </cell>
          <cell r="C20">
            <v>1612.42</v>
          </cell>
          <cell r="D20">
            <v>9.0000089306844906</v>
          </cell>
          <cell r="E20">
            <v>7.4936600960335227</v>
          </cell>
          <cell r="F20">
            <v>9706.1719130000001</v>
          </cell>
          <cell r="G20">
            <v>10719.8</v>
          </cell>
          <cell r="H20">
            <v>10.443129341675814</v>
          </cell>
          <cell r="I20">
            <v>9.1055189648054924</v>
          </cell>
        </row>
        <row r="21">
          <cell r="A21" t="str">
            <v>Others*</v>
          </cell>
          <cell r="B21">
            <v>1455.1730346456004</v>
          </cell>
          <cell r="C21">
            <v>887.21</v>
          </cell>
          <cell r="D21">
            <v>4.9521203677655867</v>
          </cell>
          <cell r="E21">
            <v>-39.030618429781768</v>
          </cell>
          <cell r="F21">
            <v>7357.107411964128</v>
          </cell>
          <cell r="G21">
            <v>6589.05</v>
          </cell>
          <cell r="H21">
            <v>-10.439665604380238</v>
          </cell>
          <cell r="I21">
            <v>5.5968133486680385</v>
          </cell>
        </row>
        <row r="22">
          <cell r="A22" t="str">
            <v>Sub Total</v>
          </cell>
          <cell r="B22">
            <v>2955.1870806456004</v>
          </cell>
          <cell r="C22">
            <v>2499.63</v>
          </cell>
          <cell r="D22">
            <v>13.952129298450078</v>
          </cell>
          <cell r="E22">
            <v>-15.415507316920113</v>
          </cell>
          <cell r="F22">
            <v>17063.279324964129</v>
          </cell>
          <cell r="G22">
            <v>17308.849999999999</v>
          </cell>
          <cell r="H22">
            <v>1.4391763175123771</v>
          </cell>
          <cell r="I22">
            <v>14.70233231347353</v>
          </cell>
        </row>
        <row r="23">
          <cell r="A23" t="str">
            <v>Total</v>
          </cell>
          <cell r="B23">
            <v>18212.806295989005</v>
          </cell>
          <cell r="C23">
            <v>17915.760000000002</v>
          </cell>
          <cell r="D23">
            <v>100</v>
          </cell>
          <cell r="E23">
            <v>-1.6309748819676457</v>
          </cell>
          <cell r="F23">
            <v>114227.6300423275</v>
          </cell>
          <cell r="G23">
            <v>117728.6</v>
          </cell>
          <cell r="H23">
            <v>3.0649064122009833</v>
          </cell>
          <cell r="I23">
            <v>100</v>
          </cell>
        </row>
        <row r="24">
          <cell r="A24" t="str">
            <v>*Others include sulfur, propylene, propane, reformat, L.A.B.F.S, CBFS, butane,  MTO etc.</v>
          </cell>
          <cell r="B24"/>
          <cell r="C24"/>
          <cell r="D24"/>
          <cell r="E24"/>
          <cell r="F24"/>
          <cell r="G24"/>
          <cell r="H24"/>
          <cell r="I24"/>
        </row>
        <row r="25">
          <cell r="A25" t="str">
            <v>NOTE :</v>
          </cell>
          <cell r="B25"/>
          <cell r="C25"/>
          <cell r="D25"/>
          <cell r="E25"/>
          <cell r="F25"/>
          <cell r="G25"/>
          <cell r="H25"/>
          <cell r="I25"/>
        </row>
        <row r="26">
          <cell r="A26" t="str">
            <v>i)   All figures are provisional.</v>
          </cell>
          <cell r="B26"/>
          <cell r="C26"/>
          <cell r="D26"/>
          <cell r="E26"/>
          <cell r="F26"/>
          <cell r="G26"/>
          <cell r="H26"/>
          <cell r="I26"/>
        </row>
        <row r="27">
          <cell r="A27" t="str">
            <v>ii)  The source of information includes Oil Companies, DGCIS &amp; online SEZ data.</v>
          </cell>
          <cell r="B27"/>
          <cell r="C27"/>
          <cell r="D27"/>
          <cell r="E27"/>
          <cell r="F27"/>
          <cell r="G27"/>
          <cell r="H27"/>
          <cell r="I27"/>
        </row>
        <row r="28">
          <cell r="A28" t="str">
            <v>iii)  The consumption estimates represent market demand and is aggregate of :</v>
          </cell>
          <cell r="B28"/>
          <cell r="C28"/>
          <cell r="D28"/>
          <cell r="E28"/>
          <cell r="F28"/>
          <cell r="G28"/>
          <cell r="H28"/>
          <cell r="I28"/>
        </row>
        <row r="29">
          <cell r="A29" t="str">
            <v xml:space="preserve">      (a) actual sales by oil companies in domestic market.</v>
          </cell>
          <cell r="B29"/>
          <cell r="C29"/>
          <cell r="D29"/>
          <cell r="E29"/>
          <cell r="F29"/>
          <cell r="G29"/>
          <cell r="H29"/>
          <cell r="I29"/>
        </row>
        <row r="30">
          <cell r="A30" t="str">
            <v xml:space="preserve">      (b) consumption through direct imports by private parties (Private direct imports prorated for April-September 2024, which may undergo change on receipt of actual data)</v>
          </cell>
          <cell r="B30"/>
          <cell r="C30"/>
          <cell r="D30"/>
          <cell r="E30"/>
          <cell r="F30"/>
          <cell r="G30"/>
          <cell r="H30"/>
          <cell r="I30"/>
        </row>
        <row r="31">
          <cell r="A31" t="str">
            <v xml:space="preserve">    ( c) sales by SEZ units in Domestic Tariff Area (DTA) are provisional due to portal upgrade.</v>
          </cell>
          <cell r="B31"/>
          <cell r="C31"/>
          <cell r="D31"/>
          <cell r="E31"/>
          <cell r="F31"/>
          <cell r="G31"/>
          <cell r="H31"/>
          <cell r="I31"/>
        </row>
        <row r="32">
          <cell r="A32" t="str">
            <v xml:space="preserve">  </v>
          </cell>
          <cell r="B32"/>
          <cell r="C32"/>
          <cell r="D32"/>
          <cell r="E32"/>
          <cell r="F32"/>
          <cell r="G32"/>
          <cell r="H32"/>
          <cell r="I32"/>
        </row>
        <row r="33">
          <cell r="A33" t="str">
            <v xml:space="preserve"> i)    Domestic POL consumption  for September'24 registered a de-growth of 1.6% on YoY basis. Growth in the POL was driven by growth in  LPG at 1.6%, MS at 3.0%, ATF at 10.4%, Lubes+Greases at 7.2%,LDO at 13.7%, Pet.Coke at 7.5%.Direct Sales reported a growth of 1.3%, Private Imports (DGCIS prorated data) reported a growth of 22.6% and SEZ reported a de-growth of 96.2% as compared to the same period of the previous year.
ii)   LPG domestic demand is increased and was driven by PMUY sales however Industrial and commercial segment lags due to shift to PMS.
iii)  Degrowth in HSD consumption is attributed excess rainfall in some parts of country impacted Agricultural  demand which negatively impacted the overall consumption. Heavy mansoon rain in some parts of the country impacted the freight movement negatively impacting the demand further.
iv)  The growth in MS is primarily on account of growing vehicle stock for personal mobility over historical although disruptions due to excess rain lowered the growth rate of MS consumption.
v)   ATF continued to grow in double digit on account of continued growth in domestic travel, buyont tourism and higher international travel .</v>
          </cell>
          <cell r="B33"/>
          <cell r="C33"/>
          <cell r="D33"/>
          <cell r="E33"/>
          <cell r="F33"/>
          <cell r="G33"/>
          <cell r="H33"/>
          <cell r="I33"/>
        </row>
        <row r="34">
          <cell r="A34"/>
          <cell r="B34"/>
          <cell r="C34"/>
          <cell r="D34"/>
          <cell r="E34"/>
          <cell r="F34"/>
          <cell r="G34"/>
          <cell r="H34"/>
          <cell r="I34"/>
        </row>
        <row r="35">
          <cell r="A35" t="str">
            <v xml:space="preserve">i)   Ethanol Blending in MS continued upward trajectory and achieved 15.91% blending in Sept'24. Overall Ethanol blending in ESY 2023-24 reached 13.8% level.
ii)  As per FADA, Automobile industry witness YoY decline of 9..26%.with only 3W and Tractor register marginal grwoth.H1FY25 witnessed an overall growth of 6.55% YoY with 2W, 3W and PV growing by 9.08%, 7.58% and 1.07% YoY.
</v>
          </cell>
          <cell r="B35"/>
          <cell r="C35"/>
          <cell r="D35"/>
          <cell r="E35"/>
          <cell r="F35"/>
          <cell r="G35"/>
          <cell r="H35"/>
          <cell r="I35"/>
        </row>
        <row r="36">
          <cell r="A36" t="str">
            <v>From-DG, PPAC</v>
          </cell>
        </row>
      </sheetData>
      <sheetData sheetId="1"/>
      <sheetData sheetId="2"/>
      <sheetData sheetId="3"/>
      <sheetData sheetId="4"/>
      <sheetData sheetId="5"/>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 val="Cover"/>
      <sheetName val="Preface"/>
      <sheetName val="Index"/>
      <sheetName val="Highlights "/>
      <sheetName val="Highlights 2"/>
      <sheetName val="Part-A"/>
      <sheetName val="1"/>
      <sheetName val="2"/>
      <sheetName val="2-Graph"/>
      <sheetName val="Part-B"/>
      <sheetName val="3-5"/>
      <sheetName val="6-7"/>
      <sheetName val="8"/>
      <sheetName val="8-9"/>
      <sheetName val="9-Map"/>
      <sheetName val="10 (2)"/>
      <sheetName val="10"/>
      <sheetName val="10-Graph"/>
      <sheetName val="Part-C"/>
      <sheetName val="11"/>
      <sheetName val="11-Graph"/>
      <sheetName val="12,13,14"/>
      <sheetName val="Part-D LPG"/>
      <sheetName val="15-16"/>
      <sheetName val="16-Graph"/>
      <sheetName val="17, Graph"/>
      <sheetName val="Part-E"/>
      <sheetName val="18 new"/>
      <sheetName val="19,20,21"/>
      <sheetName val="22"/>
      <sheetName val="22a"/>
      <sheetName val="23-24"/>
      <sheetName val="Part-F"/>
      <sheetName val="25a (2)"/>
      <sheetName val="25."/>
      <sheetName val="25a"/>
      <sheetName val="Part-G"/>
      <sheetName val="26"/>
      <sheetName val="27"/>
      <sheetName val="MoPNG Import Dependency"/>
      <sheetName val="Sheet3"/>
      <sheetName val="Sheet2"/>
      <sheetName val="MoPNG Self Sufficiency"/>
      <sheetName val="FAQ1"/>
      <sheetName val="FAQ2"/>
      <sheetName val="FAQ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ow r="3">
          <cell r="M3" t="str">
            <v>Production</v>
          </cell>
          <cell r="N3" t="str">
            <v>Consumption</v>
          </cell>
        </row>
        <row r="4">
          <cell r="L4" t="str">
            <v>LPG</v>
          </cell>
          <cell r="M4">
            <v>12.784747430320003</v>
          </cell>
          <cell r="N4">
            <v>31.320412262612184</v>
          </cell>
        </row>
        <row r="5">
          <cell r="L5" t="str">
            <v>MS</v>
          </cell>
          <cell r="M5">
            <v>48.264588936806646</v>
          </cell>
          <cell r="N5">
            <v>40.004539130439262</v>
          </cell>
        </row>
        <row r="6">
          <cell r="L6" t="str">
            <v>NAPHTHA</v>
          </cell>
          <cell r="M6">
            <v>18.329551020655998</v>
          </cell>
          <cell r="N6">
            <v>13.153341099251001</v>
          </cell>
        </row>
        <row r="7">
          <cell r="L7" t="str">
            <v>ATF</v>
          </cell>
          <cell r="M7">
            <v>17.752192582008</v>
          </cell>
          <cell r="N7">
            <v>8.9847838910909559</v>
          </cell>
        </row>
        <row r="8">
          <cell r="L8" t="str">
            <v>SKO</v>
          </cell>
          <cell r="M8">
            <v>1.008654442553</v>
          </cell>
          <cell r="N8">
            <v>0.40774494099455255</v>
          </cell>
        </row>
        <row r="9">
          <cell r="L9" t="str">
            <v>HSD</v>
          </cell>
          <cell r="M9">
            <v>118.00821789897998</v>
          </cell>
          <cell r="N9">
            <v>91.406924104730408</v>
          </cell>
        </row>
        <row r="10">
          <cell r="L10" t="str">
            <v>LDO</v>
          </cell>
          <cell r="M10">
            <v>0.63180392008099995</v>
          </cell>
          <cell r="N10">
            <v>0.83818154041808879</v>
          </cell>
        </row>
        <row r="11">
          <cell r="L11" t="str">
            <v>LUBES</v>
          </cell>
          <cell r="M11">
            <v>1.2996821793389997</v>
          </cell>
          <cell r="N11">
            <v>4.588941319307974</v>
          </cell>
        </row>
        <row r="12">
          <cell r="L12" t="str">
            <v>FO/LSHS</v>
          </cell>
          <cell r="M12">
            <v>10.338749668840997</v>
          </cell>
          <cell r="N12">
            <v>6.4585686494641497</v>
          </cell>
        </row>
        <row r="13">
          <cell r="L13" t="str">
            <v>BITUMEN</v>
          </cell>
          <cell r="M13">
            <v>5.3033462334439996</v>
          </cell>
          <cell r="N13">
            <v>8.3304026962500011</v>
          </cell>
        </row>
        <row r="14">
          <cell r="L14" t="str">
            <v>PET COKE</v>
          </cell>
          <cell r="M14">
            <v>14.9634312373977</v>
          </cell>
          <cell r="N14">
            <v>22.063037920999996</v>
          </cell>
        </row>
        <row r="15">
          <cell r="L15" t="str">
            <v>OTHERS</v>
          </cell>
          <cell r="M15">
            <v>35.387143017018907</v>
          </cell>
          <cell r="N15">
            <v>11.614112876202864</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harts"/>
      <sheetName val="ATF Data"/>
      <sheetName val="FO Data"/>
      <sheetName val="HSD Data"/>
      <sheetName val="LDO Data"/>
      <sheetName val="LPG Data"/>
      <sheetName val="LSHS Data"/>
      <sheetName val="Naptha Data"/>
      <sheetName val="Petcoke data"/>
      <sheetName val="SKO Data"/>
    </sheetNames>
    <sheetDataSet>
      <sheetData sheetId="0">
        <row r="7">
          <cell r="B7" t="str">
            <v>ATF Sectoral Sales Apr-Mar'25 (8985 TMT)</v>
          </cell>
          <cell r="C7" t="str">
            <v>ATF Sectoral Sales Apr-Mar'26 (9161 TMT)</v>
          </cell>
        </row>
        <row r="8">
          <cell r="A8" t="str">
            <v>Military</v>
          </cell>
          <cell r="B8">
            <v>122.99247373607007</v>
          </cell>
          <cell r="C8">
            <v>439.35066518362743</v>
          </cell>
        </row>
        <row r="9">
          <cell r="A9" t="str">
            <v>International Aviation</v>
          </cell>
          <cell r="B9">
            <v>2302.9710619798138</v>
          </cell>
          <cell r="C9">
            <v>3592.6230547437913</v>
          </cell>
        </row>
        <row r="10">
          <cell r="A10" t="str">
            <v>Domestic Aviation</v>
          </cell>
          <cell r="B10">
            <v>6558.7259226250762</v>
          </cell>
          <cell r="C10">
            <v>5129.4248027850308</v>
          </cell>
        </row>
        <row r="74">
          <cell r="B74" t="str">
            <v>HSD Segment Apr-Mar'25 (91407 TMT)</v>
          </cell>
          <cell r="C74" t="str">
            <v>HSD Segment Apr-Mar'26 (94705 TMT)</v>
          </cell>
        </row>
        <row r="75">
          <cell r="A75" t="str">
            <v>Retail</v>
          </cell>
          <cell r="B75">
            <v>80090.284311255149</v>
          </cell>
          <cell r="C75">
            <v>82575.32050149898</v>
          </cell>
        </row>
        <row r="76">
          <cell r="A76" t="str">
            <v>Direct Sales</v>
          </cell>
          <cell r="B76">
            <v>11317.050731223206</v>
          </cell>
          <cell r="C76">
            <v>12129.50269683152</v>
          </cell>
        </row>
        <row r="80">
          <cell r="B80" t="str">
            <v>Direct Sales HSD Apr-Mar'25 (11317 TMT)</v>
          </cell>
          <cell r="C80" t="str">
            <v>Direct Sales HSD Apr-Mar'26 (12130 TMT)</v>
          </cell>
        </row>
        <row r="81">
          <cell r="A81" t="str">
            <v>Agriculture</v>
          </cell>
          <cell r="B81">
            <v>464.25711065289283</v>
          </cell>
          <cell r="C81">
            <v>515.37632682643834</v>
          </cell>
        </row>
        <row r="82">
          <cell r="A82" t="str">
            <v>Manufacturing</v>
          </cell>
          <cell r="B82">
            <v>1313.3441897768639</v>
          </cell>
          <cell r="C82">
            <v>1446.2535859611494</v>
          </cell>
        </row>
        <row r="83">
          <cell r="A83" t="str">
            <v>Mining &amp; Quarrying</v>
          </cell>
          <cell r="B83">
            <v>1555.5250305826289</v>
          </cell>
          <cell r="C83">
            <v>1561.5784644016665</v>
          </cell>
        </row>
        <row r="84">
          <cell r="A84" t="str">
            <v>Power Generation</v>
          </cell>
          <cell r="B84">
            <v>197.96640843801791</v>
          </cell>
          <cell r="C84">
            <v>207.30686411570238</v>
          </cell>
        </row>
        <row r="85">
          <cell r="A85" t="str">
            <v>Railways</v>
          </cell>
          <cell r="B85">
            <v>1210.0299411983422</v>
          </cell>
          <cell r="C85">
            <v>1052.6016612727285</v>
          </cell>
        </row>
        <row r="86">
          <cell r="A86" t="str">
            <v>Road Transport</v>
          </cell>
          <cell r="B86">
            <v>2274.6915142016564</v>
          </cell>
          <cell r="C86">
            <v>2313.9757687710598</v>
          </cell>
        </row>
        <row r="87">
          <cell r="A87" t="str">
            <v>Shipping</v>
          </cell>
          <cell r="B87">
            <v>764.2702758727246</v>
          </cell>
          <cell r="C87">
            <v>847.75018807521121</v>
          </cell>
        </row>
        <row r="88">
          <cell r="A88" t="str">
            <v>Misc</v>
          </cell>
          <cell r="B88">
            <v>3536.9662605000772</v>
          </cell>
          <cell r="C88">
            <v>4184.6598374075647</v>
          </cell>
        </row>
        <row r="107">
          <cell r="B107" t="str">
            <v>LDO Sectoral Sales Apr-Mar'25 (838 TMT)</v>
          </cell>
          <cell r="C107" t="str">
            <v>LDO Sectoral Sales Apr-Mar'26 (1009 TMT)</v>
          </cell>
        </row>
        <row r="108">
          <cell r="A108" t="str">
            <v>Power Generation</v>
          </cell>
          <cell r="B108">
            <v>338.92780192832788</v>
          </cell>
          <cell r="C108">
            <v>360.01358593856679</v>
          </cell>
        </row>
        <row r="109">
          <cell r="A109" t="str">
            <v>Iron &amp; Steel (Metallurgy)</v>
          </cell>
          <cell r="B109">
            <v>43.816481535836147</v>
          </cell>
          <cell r="C109">
            <v>38.400174598976115</v>
          </cell>
        </row>
        <row r="110">
          <cell r="A110" t="str">
            <v>Miscellaneous</v>
          </cell>
          <cell r="B110">
            <v>455.43613895392537</v>
          </cell>
          <cell r="C110">
            <v>610.91716007679338</v>
          </cell>
        </row>
        <row r="134">
          <cell r="B134" t="str">
            <v>LPG Sectoral Apr-Mar'25 (31328 TMT)</v>
          </cell>
          <cell r="C134" t="str">
            <v>LPG Sectoral Apr-Mar'26 (33212 TMT)</v>
          </cell>
        </row>
        <row r="135">
          <cell r="A135" t="str">
            <v>Non-Domestic/Industry/Commercial</v>
          </cell>
          <cell r="B135">
            <v>2679.7696484310181</v>
          </cell>
          <cell r="C135">
            <v>2989.556930270096</v>
          </cell>
        </row>
        <row r="136">
          <cell r="A136" t="str">
            <v>Bulk &amp; Pvt Imports</v>
          </cell>
          <cell r="B136">
            <v>921.71147200000019</v>
          </cell>
          <cell r="C136">
            <v>1405.6456154999971</v>
          </cell>
        </row>
        <row r="137">
          <cell r="A137" t="str">
            <v>Auto LPG</v>
          </cell>
          <cell r="B137">
            <v>73.175174222000081</v>
          </cell>
          <cell r="C137">
            <v>69.132856675999946</v>
          </cell>
        </row>
        <row r="138">
          <cell r="A138" t="str">
            <v>Domestic</v>
          </cell>
          <cell r="B138">
            <v>27653.521976959164</v>
          </cell>
          <cell r="C138">
            <v>28747.40428821617</v>
          </cell>
        </row>
        <row r="247">
          <cell r="B247" t="str">
            <v>SKO Non-PDS Sectoral Sales Apr-Mar'25 (177 TMT)</v>
          </cell>
          <cell r="C247" t="str">
            <v>SKO Non-PDS Sectoral Sales Apr-Mar'26 (176 TMT)</v>
          </cell>
        </row>
        <row r="248">
          <cell r="A248" t="str">
            <v>Agriculture</v>
          </cell>
          <cell r="B248">
            <v>31.532270591439698</v>
          </cell>
          <cell r="C248">
            <v>29.277048568093377</v>
          </cell>
        </row>
        <row r="249">
          <cell r="A249" t="str">
            <v>Manufacture</v>
          </cell>
          <cell r="B249">
            <v>22.77663989105055</v>
          </cell>
          <cell r="C249">
            <v>25.02646028015559</v>
          </cell>
        </row>
        <row r="250">
          <cell r="A250" t="str">
            <v>Railways</v>
          </cell>
          <cell r="B250">
            <v>2.6785992217898791</v>
          </cell>
          <cell r="C250">
            <v>1.5618677042801534</v>
          </cell>
        </row>
        <row r="251">
          <cell r="A251" t="str">
            <v>Road Transport</v>
          </cell>
          <cell r="B251">
            <v>2.0326070038910505E-2</v>
          </cell>
          <cell r="C251">
            <v>5.6848249027237358E-3</v>
          </cell>
        </row>
        <row r="252">
          <cell r="A252" t="str">
            <v>Power Generation</v>
          </cell>
          <cell r="B252">
            <v>119.74514597665366</v>
          </cell>
          <cell r="C252">
            <v>120.57406842023424</v>
          </cell>
        </row>
        <row r="259">
          <cell r="B259" t="str">
            <v>SKO Segment Sales Apr-Mar'25 (408 TMT)</v>
          </cell>
          <cell r="C259" t="str">
            <v>SKO Segment Sales Apr-Mar'26 (460 TMT)</v>
          </cell>
        </row>
        <row r="260">
          <cell r="A260" t="str">
            <v>Domestic</v>
          </cell>
          <cell r="B260">
            <v>230.99195924357869</v>
          </cell>
          <cell r="C260">
            <v>283.19811261478674</v>
          </cell>
        </row>
        <row r="261">
          <cell r="A261" t="str">
            <v>Commercial/Industry/Others</v>
          </cell>
          <cell r="B261">
            <v>176.75298175097271</v>
          </cell>
          <cell r="C261">
            <v>176.44512979766608</v>
          </cell>
        </row>
      </sheetData>
      <sheetData sheetId="1"/>
      <sheetData sheetId="2"/>
      <sheetData sheetId="3"/>
      <sheetData sheetId="4"/>
      <sheetData sheetId="5"/>
      <sheetData sheetId="6"/>
      <sheetData sheetId="7"/>
      <sheetData sheetId="8"/>
      <sheetData sheetId="9"/>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reface"/>
      <sheetName val="Vision &amp; Mission"/>
      <sheetName val="CONTENTS"/>
      <sheetName val="1.1 "/>
      <sheetName val="1.1 {2}"/>
      <sheetName val="1.2"/>
      <sheetName val="2.0 CH E&amp;P"/>
      <sheetName val="Table 2.1 "/>
      <sheetName val="Table 2.2 "/>
      <sheetName val="Table 2.3"/>
      <sheetName val="Table 2.4"/>
      <sheetName val="2.5A+2.5B+2.6"/>
      <sheetName val="2.5B+2.6"/>
      <sheetName val="2.7 (A&amp;B)"/>
      <sheetName val=" 2.8 &amp; 2.9 &amp; 2.10"/>
      <sheetName val="2.10"/>
      <sheetName val="CH 3 NG"/>
      <sheetName val="3.1"/>
      <sheetName val="3.2"/>
      <sheetName val="3.3"/>
      <sheetName val="3.4+3.5"/>
      <sheetName val="3.4+3.5 Graph"/>
      <sheetName val="3.5A"/>
      <sheetName val="3.6 &amp; 3.8-Combined"/>
      <sheetName val="3.6Old"/>
      <sheetName val="3.7"/>
      <sheetName val="3.8_Old"/>
      <sheetName val="3.9 &amp; 3.10"/>
      <sheetName val="3.11"/>
      <sheetName val="3.12"/>
      <sheetName val="3.12ABC"/>
      <sheetName val="NG Sectoral"/>
      <sheetName val="4.0 CH R&amp;P"/>
      <sheetName val="4.1, 4.2 &amp; 4.3"/>
      <sheetName val="4.4&amp;4.5"/>
      <sheetName val="4.6"/>
      <sheetName val="4.7"/>
      <sheetName val="4.7 &amp; 4.8"/>
      <sheetName val="4.9"/>
      <sheetName val="4.10"/>
      <sheetName val="4.11"/>
      <sheetName val="4.12"/>
      <sheetName val="5.0 CH Pipelines"/>
      <sheetName val="5.1"/>
      <sheetName val="5.1 CHART_NEW"/>
      <sheetName val="5.2"/>
      <sheetName val="5.3"/>
      <sheetName val="6.0 CH Consumption"/>
      <sheetName val="6.1"/>
      <sheetName val="6.1 chart"/>
      <sheetName val="6.2"/>
      <sheetName val="POL mkt share"/>
      <sheetName val="Survey_HSD sectoral"/>
      <sheetName val="POL_sectoral"/>
      <sheetName val="6.3A"/>
      <sheetName val="6.3B"/>
      <sheetName val="6.4A"/>
      <sheetName val="6.4B"/>
      <sheetName val="6.4C"/>
      <sheetName val="6.4D"/>
      <sheetName val="6.5"/>
      <sheetName val="6.6"/>
      <sheetName val="6.6 PSU RO"/>
      <sheetName val="6.7"/>
      <sheetName val="6.8"/>
      <sheetName val="6.81_Charts"/>
      <sheetName val="6.9"/>
      <sheetName val="6.10"/>
      <sheetName val="7.0 CH LPG"/>
      <sheetName val="7.1"/>
      <sheetName val="7.2"/>
      <sheetName val="7.3"/>
      <sheetName val="7.4"/>
      <sheetName val="7.5"/>
      <sheetName val="7.6"/>
      <sheetName val="8.0"/>
      <sheetName val="8.1"/>
      <sheetName val="8.1 graph"/>
      <sheetName val="8.2 8.3 8.4 8.5 8.6"/>
      <sheetName val="8.6A"/>
      <sheetName val="8.7 8.8 8.9"/>
      <sheetName val="8.10 8.11"/>
      <sheetName val="8.12"/>
      <sheetName val="8.13A&amp; 8.13B"/>
      <sheetName val="8.14 &amp; 8.15"/>
      <sheetName val="8.16"/>
      <sheetName val="8.17"/>
      <sheetName val="8.18 "/>
      <sheetName val="8.19"/>
      <sheetName val="8.20"/>
      <sheetName val="8.21"/>
      <sheetName val="8.22"/>
      <sheetName val="8.23-8.24"/>
      <sheetName val="9.1, 9.2,9.3 &amp; 9.4 "/>
      <sheetName val="9.5 &amp; 9.6"/>
      <sheetName val="Abreviation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row r="6">
          <cell r="C6" t="str">
            <v>Commercial (taxis)</v>
          </cell>
          <cell r="D6">
            <v>2.9</v>
          </cell>
        </row>
        <row r="7">
          <cell r="C7" t="str">
            <v>Private cars</v>
          </cell>
          <cell r="D7">
            <v>12.4</v>
          </cell>
        </row>
        <row r="8">
          <cell r="C8" t="str">
            <v>3 - Wheelers</v>
          </cell>
          <cell r="D8">
            <v>1.2</v>
          </cell>
        </row>
        <row r="9">
          <cell r="C9" t="str">
            <v>Truck:HCV/LCV</v>
          </cell>
          <cell r="D9">
            <v>55.4</v>
          </cell>
        </row>
        <row r="10">
          <cell r="C10" t="str">
            <v>Buses</v>
          </cell>
          <cell r="D10">
            <v>5.9</v>
          </cell>
        </row>
        <row r="11">
          <cell r="C11" t="str">
            <v>Aviation/shipping</v>
          </cell>
          <cell r="D11">
            <v>0.8</v>
          </cell>
        </row>
        <row r="12">
          <cell r="C12" t="str">
            <v>Railways</v>
          </cell>
          <cell r="D12">
            <v>2.1</v>
          </cell>
        </row>
        <row r="13">
          <cell r="C13" t="str">
            <v>Agriculture</v>
          </cell>
          <cell r="D13">
            <v>4.8</v>
          </cell>
        </row>
        <row r="14">
          <cell r="C14" t="str">
            <v>Power Generation</v>
          </cell>
          <cell r="D14">
            <v>1.6</v>
          </cell>
        </row>
        <row r="15">
          <cell r="C15" t="str">
            <v>Industry</v>
          </cell>
          <cell r="D15">
            <v>6.3</v>
          </cell>
        </row>
        <row r="16">
          <cell r="C16" t="str">
            <v>Mobile towers</v>
          </cell>
          <cell r="D16">
            <v>0.3</v>
          </cell>
        </row>
        <row r="17">
          <cell r="C17" t="str">
            <v xml:space="preserve">Others </v>
          </cell>
          <cell r="D17">
            <v>6.3</v>
          </cell>
        </row>
      </sheetData>
      <sheetData sheetId="53"/>
      <sheetData sheetId="54"/>
      <sheetData sheetId="55"/>
      <sheetData sheetId="56"/>
      <sheetData sheetId="57"/>
      <sheetData sheetId="58"/>
      <sheetData sheetId="59"/>
      <sheetData sheetId="60"/>
      <sheetData sheetId="61"/>
      <sheetData sheetId="62"/>
      <sheetData sheetId="63"/>
      <sheetData sheetId="64"/>
      <sheetData sheetId="65">
        <row r="73">
          <cell r="O73" t="str">
            <v>2024-25</v>
          </cell>
        </row>
      </sheetData>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harts"/>
      <sheetName val="ATF Data"/>
      <sheetName val="FO Data"/>
      <sheetName val="HSD Data"/>
      <sheetName val="LDO Data"/>
      <sheetName val="LPG Data"/>
      <sheetName val="LSHS Data"/>
      <sheetName val="SKO Data"/>
      <sheetName val="Naptha Data"/>
      <sheetName val="Petcoke data"/>
    </sheetNames>
    <sheetDataSet>
      <sheetData sheetId="0"/>
      <sheetData sheetId="1"/>
      <sheetData sheetId="2">
        <row r="3">
          <cell r="M3" t="str">
            <v>2024-2025</v>
          </cell>
          <cell r="N3" t="str">
            <v>2025-2026</v>
          </cell>
        </row>
        <row r="4">
          <cell r="L4" t="str">
            <v>Aluminium</v>
          </cell>
          <cell r="M4">
            <v>379.02660421335383</v>
          </cell>
          <cell r="N4">
            <v>385.75171467202381</v>
          </cell>
        </row>
        <row r="5">
          <cell r="L5" t="str">
            <v>Ceramic &amp; Glass</v>
          </cell>
          <cell r="M5">
            <v>82.647609946277811</v>
          </cell>
          <cell r="N5">
            <v>82.323011815042236</v>
          </cell>
        </row>
        <row r="6">
          <cell r="L6" t="str">
            <v>Chemicals &amp; Allied</v>
          </cell>
          <cell r="M6">
            <v>219.13964463257861</v>
          </cell>
          <cell r="N6">
            <v>149.98401414428267</v>
          </cell>
        </row>
        <row r="7">
          <cell r="L7" t="str">
            <v>Fertilizer</v>
          </cell>
          <cell r="M7">
            <v>298.8265469781274</v>
          </cell>
          <cell r="N7">
            <v>308.01853633649927</v>
          </cell>
        </row>
        <row r="8">
          <cell r="L8" t="str">
            <v>Iron &amp; Steel (Metallurgy)</v>
          </cell>
          <cell r="M8">
            <v>393.70317305794305</v>
          </cell>
          <cell r="N8">
            <v>326.80635450156569</v>
          </cell>
        </row>
        <row r="9">
          <cell r="L9" t="str">
            <v>Mining &amp; Quarrying</v>
          </cell>
          <cell r="M9">
            <v>92.416539483883298</v>
          </cell>
          <cell r="N9">
            <v>127.48717219205676</v>
          </cell>
        </row>
        <row r="10">
          <cell r="L10" t="str">
            <v>Power Generation</v>
          </cell>
          <cell r="M10">
            <v>287.02432699731378</v>
          </cell>
          <cell r="N10">
            <v>285.95967036646198</v>
          </cell>
        </row>
        <row r="11">
          <cell r="L11" t="str">
            <v>Shipping</v>
          </cell>
          <cell r="M11">
            <v>1503.8303558434184</v>
          </cell>
          <cell r="N11">
            <v>1632.7942508747924</v>
          </cell>
        </row>
        <row r="12">
          <cell r="L12" t="str">
            <v>Miscellaneous</v>
          </cell>
          <cell r="M12">
            <v>2463.3084397971616</v>
          </cell>
          <cell r="N12">
            <v>2284.7505296181503</v>
          </cell>
        </row>
      </sheetData>
      <sheetData sheetId="3"/>
      <sheetData sheetId="4"/>
      <sheetData sheetId="5"/>
      <sheetData sheetId="6"/>
      <sheetData sheetId="7"/>
      <sheetData sheetId="8">
        <row r="2">
          <cell r="N2" t="str">
            <v>2024-2025</v>
          </cell>
          <cell r="O2" t="str">
            <v>2025-2026</v>
          </cell>
        </row>
        <row r="3">
          <cell r="M3" t="str">
            <v>Petrochemicals</v>
          </cell>
          <cell r="N3">
            <v>11456.683369999997</v>
          </cell>
          <cell r="O3">
            <v>10911.861100000004</v>
          </cell>
        </row>
        <row r="4">
          <cell r="M4" t="str">
            <v>Misc</v>
          </cell>
          <cell r="N4">
            <v>1571.7574610000001</v>
          </cell>
          <cell r="O4">
            <v>813.89574599999992</v>
          </cell>
        </row>
      </sheetData>
      <sheetData sheetId="9">
        <row r="3">
          <cell r="N3" t="str">
            <v>2024-2025</v>
          </cell>
          <cell r="O3" t="str">
            <v>2025-2026</v>
          </cell>
        </row>
        <row r="4">
          <cell r="M4" t="str">
            <v>Cement</v>
          </cell>
          <cell r="N4">
            <v>3569.3555789999996</v>
          </cell>
          <cell r="O4">
            <v>3024.346994999994</v>
          </cell>
        </row>
        <row r="5">
          <cell r="M5" t="str">
            <v>Agriculture</v>
          </cell>
          <cell r="N5">
            <v>818.71714999999949</v>
          </cell>
          <cell r="O5">
            <v>917.2554100000001</v>
          </cell>
        </row>
        <row r="6">
          <cell r="M6" t="str">
            <v>Mining &amp; Quarrying</v>
          </cell>
          <cell r="N6">
            <v>127.36021599999998</v>
          </cell>
          <cell r="O6">
            <v>137.25606000000002</v>
          </cell>
        </row>
        <row r="7">
          <cell r="M7" t="str">
            <v>Chemicals &amp; Allied</v>
          </cell>
          <cell r="N7">
            <v>702.74741600000004</v>
          </cell>
          <cell r="O7">
            <v>653.99716600000033</v>
          </cell>
        </row>
        <row r="8">
          <cell r="M8" t="str">
            <v>Iron &amp; Steel</v>
          </cell>
          <cell r="N8">
            <v>300.57798000000008</v>
          </cell>
          <cell r="O8">
            <v>349.66093999999993</v>
          </cell>
        </row>
        <row r="9">
          <cell r="M9" t="str">
            <v>Miscellaneous</v>
          </cell>
          <cell r="N9">
            <v>16483.515204000003</v>
          </cell>
          <cell r="O9">
            <v>13318.272806999999</v>
          </cell>
        </row>
      </sheetData>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Sheet1"/>
    </sheetNames>
    <sheetDataSet>
      <sheetData sheetId="0">
        <row r="4">
          <cell r="A4" t="str">
            <v>CHANDIGARH</v>
          </cell>
          <cell r="B4">
            <v>12.59</v>
          </cell>
        </row>
        <row r="5">
          <cell r="A5" t="str">
            <v>DELHI</v>
          </cell>
          <cell r="B5">
            <v>222.77</v>
          </cell>
        </row>
        <row r="6">
          <cell r="A6" t="str">
            <v>HARYANA</v>
          </cell>
          <cell r="B6">
            <v>310.57</v>
          </cell>
        </row>
        <row r="7">
          <cell r="A7" t="str">
            <v>HIMACHAL PRADESH</v>
          </cell>
          <cell r="B7">
            <v>75.55</v>
          </cell>
        </row>
        <row r="8">
          <cell r="A8" t="str">
            <v>JAMMU &amp; KASHMIR</v>
          </cell>
          <cell r="B8">
            <v>138.31</v>
          </cell>
        </row>
        <row r="9">
          <cell r="A9" t="str">
            <v>LADAKH</v>
          </cell>
          <cell r="B9">
            <v>3.04</v>
          </cell>
        </row>
        <row r="10">
          <cell r="A10" t="str">
            <v>PUNJAB</v>
          </cell>
          <cell r="B10">
            <v>311.88</v>
          </cell>
        </row>
        <row r="11">
          <cell r="A11" t="str">
            <v>RAJASTHAN</v>
          </cell>
          <cell r="B11">
            <v>830.6</v>
          </cell>
        </row>
        <row r="12">
          <cell r="A12" t="str">
            <v>UTTAR PRADESH</v>
          </cell>
          <cell r="B12">
            <v>2412.65</v>
          </cell>
        </row>
        <row r="13">
          <cell r="A13" t="str">
            <v>UTTARAKHAND</v>
          </cell>
          <cell r="B13">
            <v>119.13</v>
          </cell>
        </row>
        <row r="14">
          <cell r="A14" t="str">
            <v>SUB TOTAL NORTH</v>
          </cell>
          <cell r="B14">
            <v>4437.09</v>
          </cell>
        </row>
        <row r="15">
          <cell r="A15" t="str">
            <v>ARUNACHAL PRADESH</v>
          </cell>
          <cell r="B15">
            <v>15.94</v>
          </cell>
        </row>
        <row r="16">
          <cell r="A16" t="str">
            <v>ASSAM</v>
          </cell>
          <cell r="B16">
            <v>364.93</v>
          </cell>
        </row>
        <row r="17">
          <cell r="A17" t="str">
            <v>MANIPUR</v>
          </cell>
          <cell r="B17">
            <v>32.89</v>
          </cell>
        </row>
        <row r="18">
          <cell r="A18" t="str">
            <v>MEGHALAYA</v>
          </cell>
          <cell r="B18">
            <v>34.17</v>
          </cell>
        </row>
        <row r="19">
          <cell r="A19" t="str">
            <v>MIZORAM</v>
          </cell>
          <cell r="B19">
            <v>12.64</v>
          </cell>
        </row>
        <row r="20">
          <cell r="A20" t="str">
            <v>NAGALAND</v>
          </cell>
          <cell r="B20">
            <v>22.79</v>
          </cell>
        </row>
        <row r="21">
          <cell r="A21" t="str">
            <v>SIKKIM</v>
          </cell>
          <cell r="B21">
            <v>7.03</v>
          </cell>
        </row>
        <row r="22">
          <cell r="A22" t="str">
            <v>TRIPURA</v>
          </cell>
          <cell r="B22">
            <v>42.32</v>
          </cell>
        </row>
        <row r="23">
          <cell r="A23" t="str">
            <v>SUB TOTAL NORTH EAST</v>
          </cell>
          <cell r="B23">
            <v>532.71</v>
          </cell>
        </row>
        <row r="24">
          <cell r="A24" t="str">
            <v>ANDAMAN &amp; NICOBAR ISLANDS*</v>
          </cell>
          <cell r="B24">
            <v>4.05</v>
          </cell>
        </row>
        <row r="25">
          <cell r="A25" t="str">
            <v>BIHAR</v>
          </cell>
          <cell r="B25">
            <v>1310.4100000000001</v>
          </cell>
        </row>
        <row r="26">
          <cell r="A26" t="str">
            <v>JHARKHAND</v>
          </cell>
          <cell r="B26">
            <v>406.26</v>
          </cell>
        </row>
        <row r="27">
          <cell r="A27" t="str">
            <v>ODISHA</v>
          </cell>
          <cell r="B27">
            <v>469.53</v>
          </cell>
        </row>
        <row r="28">
          <cell r="A28" t="str">
            <v>WEST BENGAL</v>
          </cell>
          <cell r="B28">
            <v>1002.02</v>
          </cell>
        </row>
        <row r="29">
          <cell r="A29" t="str">
            <v>SUB TOTAL EAST</v>
          </cell>
          <cell r="B29">
            <v>3192.27</v>
          </cell>
        </row>
        <row r="30">
          <cell r="A30" t="str">
            <v>CHHATTISGARH</v>
          </cell>
          <cell r="B30">
            <v>309.82</v>
          </cell>
        </row>
        <row r="31">
          <cell r="A31" t="str">
            <v>DADRA &amp; NAGAR HAVELI and DAMAN &amp; DIU*</v>
          </cell>
          <cell r="B31">
            <v>14.79</v>
          </cell>
        </row>
        <row r="32">
          <cell r="A32" t="str">
            <v>GOA</v>
          </cell>
          <cell r="B32">
            <v>15.93</v>
          </cell>
        </row>
        <row r="33">
          <cell r="A33" t="str">
            <v>GUJARAT</v>
          </cell>
          <cell r="B33">
            <v>735.13</v>
          </cell>
        </row>
        <row r="34">
          <cell r="A34" t="str">
            <v>MADHYA PRADESH</v>
          </cell>
          <cell r="B34">
            <v>889.85</v>
          </cell>
        </row>
        <row r="35">
          <cell r="A35" t="str">
            <v>MAHARASHTRA</v>
          </cell>
          <cell r="B35">
            <v>1286.5899999999999</v>
          </cell>
        </row>
        <row r="36">
          <cell r="A36" t="str">
            <v>SUB TOTAL WEST</v>
          </cell>
          <cell r="B36">
            <v>3252.11</v>
          </cell>
        </row>
        <row r="37">
          <cell r="A37" t="str">
            <v>ANDHRA PRADESH</v>
          </cell>
          <cell r="B37">
            <v>535.86</v>
          </cell>
        </row>
        <row r="38">
          <cell r="A38" t="str">
            <v>KARNATAKA</v>
          </cell>
          <cell r="B38">
            <v>686.79</v>
          </cell>
        </row>
        <row r="39">
          <cell r="A39" t="str">
            <v>KERALA</v>
          </cell>
          <cell r="B39">
            <v>361.11</v>
          </cell>
        </row>
        <row r="40">
          <cell r="A40" t="str">
            <v>LAKSHADWEEP*</v>
          </cell>
          <cell r="B40">
            <v>0.69</v>
          </cell>
        </row>
        <row r="41">
          <cell r="A41" t="str">
            <v>PUDUCHERRY*</v>
          </cell>
          <cell r="B41">
            <v>17.32</v>
          </cell>
        </row>
        <row r="42">
          <cell r="A42" t="str">
            <v>TAMILNADU</v>
          </cell>
          <cell r="B42">
            <v>773.94</v>
          </cell>
        </row>
        <row r="43">
          <cell r="A43" t="str">
            <v>TELANGANA</v>
          </cell>
          <cell r="B43">
            <v>384.99</v>
          </cell>
        </row>
        <row r="44">
          <cell r="A44" t="str">
            <v>SUB TOTAL SOUTH</v>
          </cell>
          <cell r="B44">
            <v>2760.7</v>
          </cell>
        </row>
        <row r="45">
          <cell r="A45" t="str">
            <v>ALL INDIA</v>
          </cell>
          <cell r="B45">
            <v>14174.88</v>
          </cell>
        </row>
      </sheetData>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theme/themeOverride1.xml><?xml version="1.0" encoding="utf-8"?>
<a:themeOverride xmlns:a="http://schemas.openxmlformats.org/drawingml/2006/main">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2.xml><?xml version="1.0" encoding="utf-8"?>
<a:themeOverride xmlns:a="http://schemas.openxmlformats.org/drawingml/2006/main">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3.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4.xml><?xml version="1.0" encoding="utf-8"?>
<a:themeOverride xmlns:a="http://schemas.openxmlformats.org/drawingml/2006/main">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Override>
</file>

<file path=xl/theme/themeOverride5.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theme/themeOverride6.xml><?xml version="1.0" encoding="utf-8"?>
<a:themeOverride xmlns:a="http://schemas.openxmlformats.org/drawingml/2006/main">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ゴシック"/>
      <a:font script="Hang" typeface="맑은 고딕"/>
      <a:font script="Hans" typeface="宋体"/>
      <a:font script="Hant" typeface="新細明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明朝"/>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Overrid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3.bin"/><Relationship Id="rId4" Type="http://schemas.openxmlformats.org/officeDocument/2006/relationships/comments" Target="../comments1.xm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2.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6.bin"/><Relationship Id="rId1" Type="http://schemas.openxmlformats.org/officeDocument/2006/relationships/hyperlink" Target="https://eaindustry.nic.in/download_data_1112.asp" TargetMode="External"/><Relationship Id="rId5" Type="http://schemas.openxmlformats.org/officeDocument/2006/relationships/comments" Target="../comments3.xml"/><Relationship Id="rId4" Type="http://schemas.openxmlformats.org/officeDocument/2006/relationships/vmlDrawing" Target="../drawings/vmlDrawing3.v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2" Type="http://schemas.openxmlformats.org/officeDocument/2006/relationships/printerSettings" Target="../printerSettings/printerSettings32.bin"/><Relationship Id="rId1" Type="http://schemas.openxmlformats.org/officeDocument/2006/relationships/hyperlink" Target="http://www.igxindia.com/" TargetMode="External"/></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2" Type="http://schemas.openxmlformats.org/officeDocument/2006/relationships/printerSettings" Target="../printerSettings/printerSettings93.bin"/><Relationship Id="rId1" Type="http://schemas.openxmlformats.org/officeDocument/2006/relationships/hyperlink" Target="mailto:1017.25@" TargetMode="External"/></Relationships>
</file>

<file path=xl/worksheets/_rels/sheet95.xml.rels><?xml version="1.0" encoding="UTF-8" standalone="yes"?>
<Relationships xmlns="http://schemas.openxmlformats.org/package/2006/relationships"><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1" Type="http://schemas.openxmlformats.org/officeDocument/2006/relationships/printerSettings" Target="../printerSettings/printerSettings10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98E541-B458-44B8-93F4-4F8B1682E49B}">
  <sheetPr codeName="Sheet1">
    <pageSetUpPr fitToPage="1"/>
  </sheetPr>
  <dimension ref="A1:A48"/>
  <sheetViews>
    <sheetView workbookViewId="0">
      <selection sqref="A1:A48"/>
    </sheetView>
  </sheetViews>
  <sheetFormatPr defaultRowHeight="15" x14ac:dyDescent="0.25"/>
  <cols>
    <col min="1" max="1" width="167.5703125" customWidth="1"/>
  </cols>
  <sheetData>
    <row r="1" spans="1:1" ht="71.25" customHeight="1" x14ac:dyDescent="0.25">
      <c r="A1" s="2566" t="s">
        <v>0</v>
      </c>
    </row>
    <row r="2" spans="1:1" x14ac:dyDescent="0.25">
      <c r="A2" s="2566"/>
    </row>
    <row r="3" spans="1:1" x14ac:dyDescent="0.25">
      <c r="A3" s="2566"/>
    </row>
    <row r="4" spans="1:1" x14ac:dyDescent="0.25">
      <c r="A4" s="2566"/>
    </row>
    <row r="5" spans="1:1" x14ac:dyDescent="0.25">
      <c r="A5" s="2566"/>
    </row>
    <row r="6" spans="1:1" x14ac:dyDescent="0.25">
      <c r="A6" s="2566"/>
    </row>
    <row r="7" spans="1:1" x14ac:dyDescent="0.25">
      <c r="A7" s="2566"/>
    </row>
    <row r="8" spans="1:1" x14ac:dyDescent="0.25">
      <c r="A8" s="2566"/>
    </row>
    <row r="9" spans="1:1" x14ac:dyDescent="0.25">
      <c r="A9" s="2566"/>
    </row>
    <row r="10" spans="1:1" x14ac:dyDescent="0.25">
      <c r="A10" s="2566"/>
    </row>
    <row r="11" spans="1:1" x14ac:dyDescent="0.25">
      <c r="A11" s="2566"/>
    </row>
    <row r="12" spans="1:1" x14ac:dyDescent="0.25">
      <c r="A12" s="2566"/>
    </row>
    <row r="13" spans="1:1" x14ac:dyDescent="0.25">
      <c r="A13" s="2566"/>
    </row>
    <row r="14" spans="1:1" x14ac:dyDescent="0.25">
      <c r="A14" s="2566"/>
    </row>
    <row r="15" spans="1:1" x14ac:dyDescent="0.25">
      <c r="A15" s="2566"/>
    </row>
    <row r="16" spans="1:1" x14ac:dyDescent="0.25">
      <c r="A16" s="2566"/>
    </row>
    <row r="17" spans="1:1" x14ac:dyDescent="0.25">
      <c r="A17" s="2566"/>
    </row>
    <row r="18" spans="1:1" x14ac:dyDescent="0.25">
      <c r="A18" s="2566"/>
    </row>
    <row r="19" spans="1:1" x14ac:dyDescent="0.25">
      <c r="A19" s="2566"/>
    </row>
    <row r="20" spans="1:1" x14ac:dyDescent="0.25">
      <c r="A20" s="2566"/>
    </row>
    <row r="21" spans="1:1" x14ac:dyDescent="0.25">
      <c r="A21" s="2566"/>
    </row>
    <row r="22" spans="1:1" x14ac:dyDescent="0.25">
      <c r="A22" s="2566"/>
    </row>
    <row r="23" spans="1:1" x14ac:dyDescent="0.25">
      <c r="A23" s="2566"/>
    </row>
    <row r="24" spans="1:1" x14ac:dyDescent="0.25">
      <c r="A24" s="2566"/>
    </row>
    <row r="25" spans="1:1" x14ac:dyDescent="0.25">
      <c r="A25" s="2566"/>
    </row>
    <row r="26" spans="1:1" x14ac:dyDescent="0.25">
      <c r="A26" s="2566"/>
    </row>
    <row r="27" spans="1:1" x14ac:dyDescent="0.25">
      <c r="A27" s="2566"/>
    </row>
    <row r="28" spans="1:1" x14ac:dyDescent="0.25">
      <c r="A28" s="2566"/>
    </row>
    <row r="29" spans="1:1" x14ac:dyDescent="0.25">
      <c r="A29" s="2566"/>
    </row>
    <row r="30" spans="1:1" x14ac:dyDescent="0.25">
      <c r="A30" s="2566"/>
    </row>
    <row r="31" spans="1:1" x14ac:dyDescent="0.25">
      <c r="A31" s="2566"/>
    </row>
    <row r="32" spans="1:1" x14ac:dyDescent="0.25">
      <c r="A32" s="2566"/>
    </row>
    <row r="33" spans="1:1" x14ac:dyDescent="0.25">
      <c r="A33" s="2566"/>
    </row>
    <row r="34" spans="1:1" x14ac:dyDescent="0.25">
      <c r="A34" s="2566"/>
    </row>
    <row r="35" spans="1:1" x14ac:dyDescent="0.25">
      <c r="A35" s="2566"/>
    </row>
    <row r="36" spans="1:1" x14ac:dyDescent="0.25">
      <c r="A36" s="2566"/>
    </row>
    <row r="37" spans="1:1" x14ac:dyDescent="0.25">
      <c r="A37" s="2566"/>
    </row>
    <row r="38" spans="1:1" x14ac:dyDescent="0.25">
      <c r="A38" s="2566"/>
    </row>
    <row r="39" spans="1:1" x14ac:dyDescent="0.25">
      <c r="A39" s="2566"/>
    </row>
    <row r="40" spans="1:1" x14ac:dyDescent="0.25">
      <c r="A40" s="2566"/>
    </row>
    <row r="41" spans="1:1" x14ac:dyDescent="0.25">
      <c r="A41" s="2566"/>
    </row>
    <row r="42" spans="1:1" x14ac:dyDescent="0.25">
      <c r="A42" s="2566"/>
    </row>
    <row r="43" spans="1:1" x14ac:dyDescent="0.25">
      <c r="A43" s="2566"/>
    </row>
    <row r="44" spans="1:1" x14ac:dyDescent="0.25">
      <c r="A44" s="2566"/>
    </row>
    <row r="45" spans="1:1" x14ac:dyDescent="0.25">
      <c r="A45" s="2566"/>
    </row>
    <row r="46" spans="1:1" x14ac:dyDescent="0.25">
      <c r="A46" s="2566"/>
    </row>
    <row r="47" spans="1:1" x14ac:dyDescent="0.25">
      <c r="A47" s="2566"/>
    </row>
    <row r="48" spans="1:1" ht="100.5" customHeight="1" x14ac:dyDescent="0.25">
      <c r="A48" s="2566"/>
    </row>
  </sheetData>
  <mergeCells count="1">
    <mergeCell ref="A1:A48"/>
  </mergeCells>
  <pageMargins left="0.70866141732283472" right="0.70866141732283472" top="0.74803149606299213" bottom="0.74803149606299213" header="0.31496062992125984" footer="0.31496062992125984"/>
  <pageSetup paperSize="9" scale="54" orientation="landscape" horizontalDpi="300" verticalDpi="300"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B8E822-04A2-4EFF-AA6D-FC821B3620D7}">
  <sheetPr codeName="Sheet2"/>
  <dimension ref="A1"/>
  <sheetViews>
    <sheetView workbookViewId="0"/>
  </sheetViews>
  <sheetFormatPr defaultRowHeight="15" x14ac:dyDescent="0.25"/>
  <sheetData/>
  <pageMargins left="0.7" right="0.7" top="0.75" bottom="0.75" header="0.3" footer="0.3"/>
  <pageSetup paperSize="9" orientation="portrait" verticalDpi="0"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E44A54-DBE7-4BC4-B3D6-C0DE0366A4C9}">
  <sheetPr>
    <tabColor theme="0"/>
    <pageSetUpPr fitToPage="1"/>
  </sheetPr>
  <dimension ref="A2:AA45"/>
  <sheetViews>
    <sheetView showGridLines="0" view="pageLayout" topLeftCell="A75" zoomScale="10" zoomScaleNormal="85" zoomScalePageLayoutView="10" workbookViewId="0">
      <selection activeCell="AU106" sqref="AU106"/>
    </sheetView>
  </sheetViews>
  <sheetFormatPr defaultColWidth="9.140625" defaultRowHeight="16.5" x14ac:dyDescent="0.3"/>
  <cols>
    <col min="1" max="1" width="12.85546875" style="1" customWidth="1"/>
    <col min="2" max="2" width="67.7109375" style="1" customWidth="1"/>
    <col min="3" max="3" width="55.140625" style="1" customWidth="1"/>
    <col min="4" max="4" width="26" style="1" customWidth="1"/>
    <col min="5" max="5" width="14.85546875" style="1" hidden="1" customWidth="1"/>
    <col min="6" max="6" width="2.85546875" style="1" hidden="1" customWidth="1"/>
    <col min="7" max="8" width="30.42578125" style="1" bestFit="1" customWidth="1"/>
    <col min="9" max="9" width="31.42578125" style="1" customWidth="1"/>
    <col min="10" max="10" width="23.5703125" style="1" hidden="1" customWidth="1"/>
    <col min="11" max="11" width="31" style="1" hidden="1" customWidth="1"/>
    <col min="12" max="12" width="9.85546875" style="1" hidden="1" customWidth="1"/>
    <col min="13" max="17" width="9.140625" style="1" hidden="1" customWidth="1"/>
    <col min="18" max="19" width="10.85546875" style="1" hidden="1" customWidth="1"/>
    <col min="20" max="20" width="2.42578125" style="1" hidden="1" customWidth="1"/>
    <col min="21" max="22" width="34.85546875" style="1" customWidth="1"/>
    <col min="23" max="23" width="33.140625" style="1" hidden="1" customWidth="1"/>
    <col min="24" max="24" width="32.28515625" style="1" customWidth="1"/>
    <col min="25" max="25" width="13.140625" style="1" bestFit="1" customWidth="1"/>
    <col min="26" max="26" width="0" style="1" hidden="1" customWidth="1"/>
    <col min="27" max="28" width="26.42578125" style="1" bestFit="1" customWidth="1"/>
    <col min="29" max="16384" width="9.140625" style="1"/>
  </cols>
  <sheetData>
    <row r="2" spans="1:27" hidden="1" x14ac:dyDescent="0.3"/>
    <row r="3" spans="1:27" hidden="1" x14ac:dyDescent="0.3"/>
    <row r="4" spans="1:27" hidden="1" x14ac:dyDescent="0.3"/>
    <row r="5" spans="1:27" ht="15.75" hidden="1" customHeight="1" x14ac:dyDescent="0.3">
      <c r="A5" s="2569" t="s">
        <v>75</v>
      </c>
      <c r="B5" s="2570"/>
      <c r="C5" s="2570"/>
      <c r="D5" s="2570"/>
      <c r="E5" s="2570"/>
      <c r="F5" s="2570"/>
      <c r="G5" s="2570"/>
      <c r="H5" s="2570"/>
      <c r="I5" s="2570"/>
      <c r="J5" s="2570"/>
      <c r="K5" s="2570"/>
      <c r="L5" s="2570"/>
      <c r="M5" s="2570"/>
      <c r="N5" s="2570"/>
      <c r="O5" s="2570"/>
      <c r="P5" s="2570"/>
      <c r="Q5" s="2570"/>
      <c r="R5" s="2570"/>
      <c r="S5" s="2570"/>
      <c r="T5" s="2570"/>
      <c r="U5" s="2570"/>
      <c r="V5" s="1293"/>
      <c r="W5" s="1293"/>
    </row>
    <row r="6" spans="1:27" ht="36.75" hidden="1" customHeight="1" x14ac:dyDescent="0.3">
      <c r="A6" s="2" t="s">
        <v>3</v>
      </c>
      <c r="B6" s="2" t="s">
        <v>4</v>
      </c>
      <c r="C6" s="2" t="s">
        <v>5</v>
      </c>
      <c r="D6" s="2" t="s">
        <v>6</v>
      </c>
      <c r="E6" s="2" t="s">
        <v>7</v>
      </c>
      <c r="F6" s="251" t="s">
        <v>115</v>
      </c>
      <c r="G6" s="2" t="s">
        <v>76</v>
      </c>
      <c r="H6" s="2" t="s">
        <v>77</v>
      </c>
      <c r="I6" s="2" t="s">
        <v>11</v>
      </c>
      <c r="U6" s="2" t="s">
        <v>78</v>
      </c>
      <c r="V6" s="2"/>
      <c r="W6" s="2"/>
      <c r="X6" s="2" t="s">
        <v>14</v>
      </c>
    </row>
    <row r="7" spans="1:27" ht="34.5" hidden="1" customHeight="1" x14ac:dyDescent="0.3">
      <c r="A7" s="252">
        <v>1</v>
      </c>
      <c r="B7" s="253" t="s">
        <v>79</v>
      </c>
      <c r="C7" s="253" t="s">
        <v>80</v>
      </c>
      <c r="D7" s="252" t="s">
        <v>81</v>
      </c>
      <c r="E7" s="254">
        <v>34.203266503573005</v>
      </c>
      <c r="F7" s="255">
        <v>32.169753643166999</v>
      </c>
      <c r="G7" s="256">
        <v>30.49408880092</v>
      </c>
      <c r="H7" s="257">
        <v>29.688435178322006</v>
      </c>
      <c r="I7" s="257">
        <v>29.178678010786577</v>
      </c>
      <c r="J7" s="5">
        <v>29.356407608374997</v>
      </c>
      <c r="K7" s="5">
        <v>0</v>
      </c>
      <c r="L7" s="5">
        <v>0</v>
      </c>
      <c r="M7" s="5">
        <v>0</v>
      </c>
      <c r="N7" s="5">
        <v>0</v>
      </c>
      <c r="O7" s="5">
        <v>0</v>
      </c>
      <c r="P7" s="5">
        <v>0</v>
      </c>
      <c r="Q7" s="5">
        <v>0</v>
      </c>
      <c r="R7" s="5">
        <v>0</v>
      </c>
      <c r="S7" s="5">
        <v>0</v>
      </c>
      <c r="T7" s="5">
        <v>0</v>
      </c>
      <c r="U7" s="258">
        <v>29.356407608374997</v>
      </c>
      <c r="V7" s="258"/>
      <c r="W7" s="258"/>
      <c r="X7" s="258">
        <v>14.377249896354797</v>
      </c>
    </row>
    <row r="8" spans="1:27" hidden="1" x14ac:dyDescent="0.3">
      <c r="A8" s="252">
        <v>2</v>
      </c>
      <c r="B8" s="259" t="s">
        <v>82</v>
      </c>
      <c r="C8" s="259" t="s">
        <v>83</v>
      </c>
      <c r="D8" s="260" t="s">
        <v>81</v>
      </c>
      <c r="E8" s="261">
        <v>213.21630000000002</v>
      </c>
      <c r="F8" s="262">
        <v>214.12662683578435</v>
      </c>
      <c r="G8" s="263">
        <v>194.3</v>
      </c>
      <c r="H8" s="264">
        <v>201.7</v>
      </c>
      <c r="I8" s="264">
        <v>223.00825949358247</v>
      </c>
      <c r="J8" s="5"/>
      <c r="K8" s="5"/>
      <c r="L8" s="5"/>
      <c r="M8" s="5"/>
      <c r="N8" s="5"/>
      <c r="O8" s="5"/>
      <c r="P8" s="5"/>
      <c r="Q8" s="5"/>
      <c r="R8" s="5"/>
      <c r="S8" s="5"/>
      <c r="T8" s="5"/>
      <c r="U8" s="265">
        <v>234.3</v>
      </c>
      <c r="V8" s="265"/>
      <c r="W8" s="265"/>
      <c r="X8" s="265">
        <v>117.72859999999999</v>
      </c>
    </row>
    <row r="9" spans="1:27" hidden="1" x14ac:dyDescent="0.3">
      <c r="A9" s="252">
        <v>3</v>
      </c>
      <c r="B9" s="253" t="s">
        <v>84</v>
      </c>
      <c r="C9" s="253" t="s">
        <v>85</v>
      </c>
      <c r="D9" s="252" t="s">
        <v>81</v>
      </c>
      <c r="E9" s="266">
        <v>262.35621910515562</v>
      </c>
      <c r="F9" s="267">
        <v>262.94028950042394</v>
      </c>
      <c r="G9" s="258">
        <v>233.51303246169314</v>
      </c>
      <c r="H9" s="258">
        <v>254.30557396770462</v>
      </c>
      <c r="I9" s="258">
        <v>266.53914681394684</v>
      </c>
      <c r="J9" s="268">
        <v>18.730228417211549</v>
      </c>
      <c r="K9" s="12"/>
      <c r="L9" s="12"/>
      <c r="M9" s="12"/>
      <c r="N9" s="12"/>
      <c r="O9" s="12"/>
      <c r="P9" s="12"/>
      <c r="Q9" s="12"/>
      <c r="R9" s="12"/>
      <c r="S9" s="12"/>
      <c r="T9" s="12"/>
      <c r="U9" s="258">
        <v>276.0579877990765</v>
      </c>
      <c r="V9" s="258"/>
      <c r="W9" s="258"/>
      <c r="X9" s="258">
        <v>139.9</v>
      </c>
    </row>
    <row r="10" spans="1:27" hidden="1" x14ac:dyDescent="0.3">
      <c r="A10" s="269">
        <v>4</v>
      </c>
      <c r="B10" s="2571" t="s">
        <v>86</v>
      </c>
      <c r="C10" s="2571"/>
      <c r="D10" s="2571"/>
      <c r="E10" s="2571"/>
      <c r="F10" s="2571"/>
      <c r="G10" s="2571"/>
      <c r="H10" s="2571"/>
      <c r="I10" s="2571"/>
      <c r="J10" s="2571"/>
      <c r="K10" s="2571"/>
      <c r="L10" s="2571"/>
      <c r="M10" s="2571"/>
      <c r="N10" s="2571"/>
      <c r="O10" s="2571"/>
      <c r="P10" s="2571"/>
      <c r="Q10" s="2571"/>
      <c r="R10" s="2571"/>
      <c r="S10" s="2571"/>
      <c r="T10" s="2571"/>
      <c r="U10" s="2571"/>
      <c r="V10" s="1318"/>
      <c r="W10" s="1318"/>
      <c r="X10" s="270"/>
    </row>
    <row r="11" spans="1:27" hidden="1" x14ac:dyDescent="0.3">
      <c r="A11" s="2572"/>
      <c r="B11" s="253" t="s">
        <v>87</v>
      </c>
      <c r="C11" s="253" t="s">
        <v>85</v>
      </c>
      <c r="D11" s="252" t="s">
        <v>41</v>
      </c>
      <c r="E11" s="271">
        <v>111.91467188589772</v>
      </c>
      <c r="F11" s="272">
        <v>101.37619315806718</v>
      </c>
      <c r="G11" s="258">
        <v>62.248046946401743</v>
      </c>
      <c r="H11" s="258">
        <v>120.67515291795257</v>
      </c>
      <c r="I11" s="258">
        <v>157.53102411079601</v>
      </c>
      <c r="J11" s="12">
        <v>133.3664296536474</v>
      </c>
      <c r="K11" s="12"/>
      <c r="L11" s="12"/>
      <c r="M11" s="12"/>
      <c r="N11" s="12"/>
      <c r="O11" s="12"/>
      <c r="P11" s="12"/>
      <c r="Q11" s="12"/>
      <c r="R11" s="12"/>
      <c r="S11" s="12"/>
      <c r="T11" s="12"/>
      <c r="U11" s="258">
        <v>133.36642965364751</v>
      </c>
      <c r="V11" s="258"/>
      <c r="W11" s="258"/>
      <c r="X11" s="273">
        <v>71.04686231157487</v>
      </c>
    </row>
    <row r="12" spans="1:27" hidden="1" x14ac:dyDescent="0.3">
      <c r="A12" s="2573"/>
      <c r="B12" s="274" t="s">
        <v>88</v>
      </c>
      <c r="C12" s="275" t="s">
        <v>89</v>
      </c>
      <c r="D12" s="276" t="s">
        <v>41</v>
      </c>
      <c r="E12" s="277">
        <v>16.340789823297023</v>
      </c>
      <c r="F12" s="278">
        <v>17.688678629451939</v>
      </c>
      <c r="G12" s="276">
        <v>14.770234822447883</v>
      </c>
      <c r="H12" s="276">
        <v>23.655583237171101</v>
      </c>
      <c r="I12" s="279">
        <v>26.912496992363387</v>
      </c>
      <c r="J12" s="5">
        <v>22.932567961932161</v>
      </c>
      <c r="K12" s="5"/>
      <c r="L12" s="5"/>
      <c r="M12" s="5"/>
      <c r="N12" s="5"/>
      <c r="O12" s="5"/>
      <c r="P12" s="5"/>
      <c r="Q12" s="5"/>
      <c r="R12" s="5"/>
      <c r="S12" s="5"/>
      <c r="T12" s="5"/>
      <c r="U12" s="276">
        <v>22.932567961932161</v>
      </c>
      <c r="V12" s="276"/>
      <c r="W12" s="276"/>
      <c r="X12" s="280">
        <v>12.046886149854464</v>
      </c>
    </row>
    <row r="13" spans="1:27" ht="31.5" hidden="1" x14ac:dyDescent="0.3">
      <c r="A13" s="2573"/>
      <c r="B13" s="281" t="s">
        <v>90</v>
      </c>
      <c r="C13" s="282" t="s">
        <v>89</v>
      </c>
      <c r="D13" s="258" t="s">
        <v>41</v>
      </c>
      <c r="E13" s="271">
        <f>+E11+E12</f>
        <v>128.25546170919475</v>
      </c>
      <c r="F13" s="272">
        <f>+F11+F12</f>
        <v>119.06487178751912</v>
      </c>
      <c r="G13" s="258">
        <f>+G11+G12</f>
        <v>77.018281768849619</v>
      </c>
      <c r="H13" s="258">
        <f>+H11+H12</f>
        <v>144.33073615512367</v>
      </c>
      <c r="I13" s="257">
        <f>+I11+I12</f>
        <v>184.44352110315941</v>
      </c>
      <c r="J13" s="5"/>
      <c r="K13" s="5"/>
      <c r="L13" s="5"/>
      <c r="M13" s="5"/>
      <c r="N13" s="5"/>
      <c r="O13" s="5"/>
      <c r="P13" s="5"/>
      <c r="Q13" s="5"/>
      <c r="R13" s="5"/>
      <c r="S13" s="5"/>
      <c r="T13" s="5"/>
      <c r="U13" s="258">
        <f>+U11+U12</f>
        <v>156.29899761557968</v>
      </c>
      <c r="V13" s="258"/>
      <c r="W13" s="258"/>
      <c r="X13" s="273">
        <f>+X11+X12</f>
        <v>83.093748461429328</v>
      </c>
    </row>
    <row r="14" spans="1:27" hidden="1" x14ac:dyDescent="0.3">
      <c r="A14" s="2574"/>
      <c r="B14" s="281" t="s">
        <v>91</v>
      </c>
      <c r="C14" s="253" t="s">
        <v>85</v>
      </c>
      <c r="D14" s="258" t="s">
        <v>41</v>
      </c>
      <c r="E14" s="271">
        <v>38.23562369970972</v>
      </c>
      <c r="F14" s="272">
        <v>35.847948367938614</v>
      </c>
      <c r="G14" s="258">
        <v>21.406174738149033</v>
      </c>
      <c r="H14" s="258">
        <v>44.438069722131488</v>
      </c>
      <c r="I14" s="257">
        <v>57.323329625653784</v>
      </c>
      <c r="J14" s="5">
        <v>47.717386676601301</v>
      </c>
      <c r="K14" s="5"/>
      <c r="L14" s="5"/>
      <c r="M14" s="5"/>
      <c r="N14" s="5"/>
      <c r="O14" s="5"/>
      <c r="P14" s="5"/>
      <c r="Q14" s="5"/>
      <c r="R14" s="5"/>
      <c r="S14" s="5"/>
      <c r="T14" s="5"/>
      <c r="U14" s="258">
        <v>47.717386676601301</v>
      </c>
      <c r="V14" s="258"/>
      <c r="W14" s="258"/>
      <c r="X14" s="273">
        <v>22.125783650372977</v>
      </c>
    </row>
    <row r="15" spans="1:27" ht="31.5" hidden="1" x14ac:dyDescent="0.3">
      <c r="A15" s="252">
        <v>5</v>
      </c>
      <c r="B15" s="253" t="s">
        <v>92</v>
      </c>
      <c r="C15" s="281" t="s">
        <v>93</v>
      </c>
      <c r="D15" s="252" t="s">
        <v>71</v>
      </c>
      <c r="E15" s="13" t="e">
        <f>+E13/#REF!*100</f>
        <v>#REF!</v>
      </c>
      <c r="F15" s="21" t="e">
        <f>+F13/#REF!*100</f>
        <v>#REF!</v>
      </c>
      <c r="G15" s="14" t="e">
        <f>+G13/#REF!*100</f>
        <v>#REF!</v>
      </c>
      <c r="H15" s="14">
        <v>23.5</v>
      </c>
      <c r="I15" s="15">
        <v>25.8</v>
      </c>
      <c r="J15" s="283"/>
      <c r="K15" s="5"/>
      <c r="L15" s="5"/>
      <c r="M15" s="5"/>
      <c r="N15" s="5"/>
      <c r="O15" s="5"/>
      <c r="P15" s="5"/>
      <c r="Q15" s="5"/>
      <c r="R15" s="5"/>
      <c r="S15" s="5"/>
      <c r="T15" s="5"/>
      <c r="U15" s="14">
        <v>23.018856402843259</v>
      </c>
      <c r="V15" s="14"/>
      <c r="W15" s="14"/>
      <c r="X15" s="14">
        <v>23.794488827182018</v>
      </c>
    </row>
    <row r="16" spans="1:27" ht="31.5" hidden="1" x14ac:dyDescent="0.3">
      <c r="A16" s="252">
        <v>6</v>
      </c>
      <c r="B16" s="253" t="s">
        <v>94</v>
      </c>
      <c r="C16" s="281" t="s">
        <v>93</v>
      </c>
      <c r="D16" s="252" t="s">
        <v>71</v>
      </c>
      <c r="E16" s="13" t="e">
        <f>+E14/#REF!*100</f>
        <v>#REF!</v>
      </c>
      <c r="F16" s="21" t="e">
        <f>+F14/#REF!*100</f>
        <v>#REF!</v>
      </c>
      <c r="G16" s="14" t="e">
        <f>+G14/#REF!*100</f>
        <v>#REF!</v>
      </c>
      <c r="H16" s="14">
        <v>10.6</v>
      </c>
      <c r="I16" s="15">
        <v>12.8</v>
      </c>
      <c r="J16" s="5"/>
      <c r="K16" s="5"/>
      <c r="L16" s="5"/>
      <c r="M16" s="5"/>
      <c r="N16" s="5"/>
      <c r="O16" s="5"/>
      <c r="P16" s="5"/>
      <c r="Q16" s="5"/>
      <c r="R16" s="5"/>
      <c r="S16" s="5"/>
      <c r="T16" s="5"/>
      <c r="U16" s="14">
        <v>10.901997249447451</v>
      </c>
      <c r="V16" s="14"/>
      <c r="W16" s="14"/>
      <c r="X16" s="14">
        <v>10.317057104866588</v>
      </c>
      <c r="AA16" s="1">
        <f>100-16.2</f>
        <v>83.8</v>
      </c>
    </row>
    <row r="17" spans="1:24" hidden="1" x14ac:dyDescent="0.3">
      <c r="A17" s="252">
        <v>7</v>
      </c>
      <c r="B17" s="253" t="s">
        <v>95</v>
      </c>
      <c r="C17" s="281" t="s">
        <v>96</v>
      </c>
      <c r="D17" s="252" t="s">
        <v>71</v>
      </c>
      <c r="E17" s="284">
        <v>83.8</v>
      </c>
      <c r="F17" s="285">
        <v>85</v>
      </c>
      <c r="G17" s="286">
        <v>84.4</v>
      </c>
      <c r="H17" s="286">
        <v>85.5</v>
      </c>
      <c r="I17" s="287">
        <v>87.3</v>
      </c>
      <c r="J17" s="5"/>
      <c r="K17" s="5"/>
      <c r="L17" s="5"/>
      <c r="M17" s="5"/>
      <c r="N17" s="5"/>
      <c r="O17" s="5"/>
      <c r="P17" s="5"/>
      <c r="Q17" s="5"/>
      <c r="R17" s="5"/>
      <c r="S17" s="5"/>
      <c r="T17" s="5"/>
      <c r="U17" s="286">
        <v>87.7</v>
      </c>
      <c r="V17" s="286"/>
      <c r="W17" s="286"/>
      <c r="X17" s="286">
        <v>88.24994400942893</v>
      </c>
    </row>
    <row r="18" spans="1:24" ht="15.75" hidden="1" customHeight="1" x14ac:dyDescent="0.3">
      <c r="A18" s="2575" t="s">
        <v>97</v>
      </c>
      <c r="B18" s="2576"/>
      <c r="C18" s="2576"/>
      <c r="D18" s="2576"/>
      <c r="E18" s="2576"/>
      <c r="F18" s="2576"/>
      <c r="G18" s="2576"/>
      <c r="H18" s="2576"/>
      <c r="I18" s="2576"/>
      <c r="X18" s="288"/>
    </row>
    <row r="19" spans="1:24" ht="15.75" hidden="1" customHeight="1" x14ac:dyDescent="0.3">
      <c r="A19" s="2569" t="s">
        <v>98</v>
      </c>
      <c r="B19" s="2570"/>
      <c r="C19" s="2570"/>
      <c r="D19" s="2570"/>
      <c r="E19" s="2570"/>
      <c r="F19" s="2570"/>
      <c r="G19" s="2570"/>
      <c r="H19" s="2570"/>
      <c r="I19" s="2570"/>
      <c r="J19" s="2570"/>
      <c r="K19" s="2570"/>
      <c r="L19" s="2570"/>
      <c r="M19" s="2570"/>
      <c r="N19" s="2570"/>
      <c r="O19" s="2570"/>
      <c r="P19" s="2570"/>
      <c r="Q19" s="2570"/>
      <c r="R19" s="2570"/>
      <c r="S19" s="2570"/>
      <c r="T19" s="2570"/>
      <c r="U19" s="2570"/>
      <c r="V19" s="1293"/>
      <c r="W19" s="1293"/>
    </row>
    <row r="20" spans="1:24" ht="33.75" hidden="1" customHeight="1" x14ac:dyDescent="0.3">
      <c r="A20" s="2" t="s">
        <v>3</v>
      </c>
      <c r="B20" s="2" t="s">
        <v>4</v>
      </c>
      <c r="C20" s="2" t="s">
        <v>5</v>
      </c>
      <c r="D20" s="2" t="s">
        <v>6</v>
      </c>
      <c r="E20" s="289" t="s">
        <v>7</v>
      </c>
      <c r="F20" s="251" t="s">
        <v>115</v>
      </c>
      <c r="G20" s="289" t="s">
        <v>76</v>
      </c>
      <c r="H20" s="289" t="s">
        <v>77</v>
      </c>
      <c r="I20" s="289" t="s">
        <v>99</v>
      </c>
      <c r="U20" s="2" t="s">
        <v>78</v>
      </c>
      <c r="V20" s="2"/>
      <c r="W20" s="2"/>
      <c r="X20" s="2" t="s">
        <v>14</v>
      </c>
    </row>
    <row r="21" spans="1:24" hidden="1" x14ac:dyDescent="0.3">
      <c r="A21" s="252">
        <v>1</v>
      </c>
      <c r="B21" s="16" t="s">
        <v>100</v>
      </c>
      <c r="C21" s="290" t="s">
        <v>80</v>
      </c>
      <c r="D21" s="291" t="s">
        <v>101</v>
      </c>
      <c r="E21" s="292">
        <v>32873</v>
      </c>
      <c r="F21" s="293">
        <v>31184</v>
      </c>
      <c r="G21" s="294">
        <v>28672</v>
      </c>
      <c r="H21" s="294">
        <v>34024</v>
      </c>
      <c r="I21" s="294">
        <v>34450</v>
      </c>
      <c r="U21" s="294">
        <v>36438</v>
      </c>
      <c r="V21" s="294"/>
      <c r="W21" s="294"/>
      <c r="X21" s="294">
        <v>18160.116489</v>
      </c>
    </row>
    <row r="22" spans="1:24" hidden="1" x14ac:dyDescent="0.3">
      <c r="A22" s="252">
        <v>2</v>
      </c>
      <c r="B22" s="16" t="s">
        <v>102</v>
      </c>
      <c r="C22" s="290" t="s">
        <v>80</v>
      </c>
      <c r="D22" s="291" t="s">
        <v>101</v>
      </c>
      <c r="E22" s="292">
        <v>32056</v>
      </c>
      <c r="F22" s="293">
        <v>30257</v>
      </c>
      <c r="G22" s="294">
        <v>27784</v>
      </c>
      <c r="H22" s="294">
        <v>33131</v>
      </c>
      <c r="I22" s="294">
        <v>33664</v>
      </c>
      <c r="U22" s="294">
        <v>35717</v>
      </c>
      <c r="V22" s="294"/>
      <c r="W22" s="294"/>
      <c r="X22" s="294">
        <v>17875.177147811002</v>
      </c>
    </row>
    <row r="23" spans="1:24" hidden="1" x14ac:dyDescent="0.3">
      <c r="A23" s="252">
        <v>3</v>
      </c>
      <c r="B23" s="16" t="s">
        <v>103</v>
      </c>
      <c r="C23" s="295" t="s">
        <v>104</v>
      </c>
      <c r="D23" s="291" t="s">
        <v>101</v>
      </c>
      <c r="E23" s="292">
        <v>28740</v>
      </c>
      <c r="F23" s="293">
        <v>33887</v>
      </c>
      <c r="G23" s="294">
        <v>33198</v>
      </c>
      <c r="H23" s="294">
        <v>31028</v>
      </c>
      <c r="I23" s="294">
        <v>26304</v>
      </c>
      <c r="U23" s="294">
        <v>30917</v>
      </c>
      <c r="V23" s="294"/>
      <c r="W23" s="294"/>
      <c r="X23" s="294">
        <v>18974.853928</v>
      </c>
    </row>
    <row r="24" spans="1:24" ht="31.5" hidden="1" x14ac:dyDescent="0.3">
      <c r="A24" s="252">
        <v>4</v>
      </c>
      <c r="B24" s="16" t="s">
        <v>105</v>
      </c>
      <c r="C24" s="296"/>
      <c r="D24" s="291" t="s">
        <v>101</v>
      </c>
      <c r="E24" s="294">
        <v>60796</v>
      </c>
      <c r="F24" s="297">
        <v>64144</v>
      </c>
      <c r="G24" s="294">
        <v>60982</v>
      </c>
      <c r="H24" s="294">
        <v>64159</v>
      </c>
      <c r="I24" s="294">
        <v>59969</v>
      </c>
      <c r="U24" s="294">
        <v>66634</v>
      </c>
      <c r="V24" s="294"/>
      <c r="W24" s="294"/>
      <c r="X24" s="294">
        <v>36850.031075810999</v>
      </c>
    </row>
    <row r="25" spans="1:24" ht="31.5" hidden="1" x14ac:dyDescent="0.3">
      <c r="A25" s="298">
        <v>5</v>
      </c>
      <c r="B25" s="16" t="s">
        <v>106</v>
      </c>
      <c r="C25" s="299" t="s">
        <v>96</v>
      </c>
      <c r="D25" s="291" t="s">
        <v>71</v>
      </c>
      <c r="E25" s="300">
        <f>E23/E24*100</f>
        <v>47.272846897822227</v>
      </c>
      <c r="F25" s="301">
        <f>F23/F24*100</f>
        <v>52.82957096532801</v>
      </c>
      <c r="G25" s="300">
        <f>G23/G24*100</f>
        <v>54.439014791249875</v>
      </c>
      <c r="H25" s="300">
        <f>H23/H24*100</f>
        <v>48.361102885020031</v>
      </c>
      <c r="I25" s="300">
        <f>I23/I24*100</f>
        <v>43.86266237556071</v>
      </c>
      <c r="U25" s="300">
        <v>46.4</v>
      </c>
      <c r="V25" s="300"/>
      <c r="W25" s="300"/>
      <c r="X25" s="300">
        <v>51.492097493658349</v>
      </c>
    </row>
    <row r="26" spans="1:24" hidden="1" x14ac:dyDescent="0.3">
      <c r="A26" s="2567" t="s">
        <v>107</v>
      </c>
      <c r="B26" s="2568"/>
      <c r="C26" s="2568"/>
      <c r="D26" s="2568"/>
      <c r="E26" s="2568"/>
      <c r="F26" s="2568"/>
      <c r="G26" s="302"/>
      <c r="H26" s="302"/>
      <c r="I26" s="302"/>
      <c r="X26" s="288"/>
    </row>
    <row r="27" spans="1:24" hidden="1" x14ac:dyDescent="0.3"/>
    <row r="28" spans="1:24" hidden="1" x14ac:dyDescent="0.3"/>
    <row r="29" spans="1:24" hidden="1" x14ac:dyDescent="0.3"/>
    <row r="30" spans="1:24" hidden="1" x14ac:dyDescent="0.3"/>
    <row r="31" spans="1:24" hidden="1" x14ac:dyDescent="0.3"/>
    <row r="32" spans="1:24" hidden="1" x14ac:dyDescent="0.3"/>
    <row r="33" spans="1:1" hidden="1" x14ac:dyDescent="0.3"/>
    <row r="34" spans="1:1" ht="1.5" customHeight="1" x14ac:dyDescent="0.3"/>
    <row r="35" spans="1:1" hidden="1" x14ac:dyDescent="0.3"/>
    <row r="36" spans="1:1" hidden="1" x14ac:dyDescent="0.3"/>
    <row r="37" spans="1:1" hidden="1" x14ac:dyDescent="0.3"/>
    <row r="38" spans="1:1" hidden="1" x14ac:dyDescent="0.3"/>
    <row r="39" spans="1:1" hidden="1" x14ac:dyDescent="0.3"/>
    <row r="40" spans="1:1" hidden="1" x14ac:dyDescent="0.3"/>
    <row r="41" spans="1:1" hidden="1" x14ac:dyDescent="0.3"/>
    <row r="42" spans="1:1" hidden="1" x14ac:dyDescent="0.3"/>
    <row r="43" spans="1:1" hidden="1" x14ac:dyDescent="0.3"/>
    <row r="44" spans="1:1" hidden="1" x14ac:dyDescent="0.3"/>
    <row r="45" spans="1:1" hidden="1" x14ac:dyDescent="0.3">
      <c r="A45" t="s">
        <v>108</v>
      </c>
    </row>
  </sheetData>
  <mergeCells count="6">
    <mergeCell ref="A26:F26"/>
    <mergeCell ref="A5:U5"/>
    <mergeCell ref="B10:U10"/>
    <mergeCell ref="A11:A14"/>
    <mergeCell ref="A18:I18"/>
    <mergeCell ref="A19:U19"/>
  </mergeCells>
  <pageMargins left="0.7" right="0.7" top="0.75" bottom="0.75" header="0.3" footer="0.3"/>
  <pageSetup paperSize="9" scale="17" orientation="portrait" r:id="rId1"/>
  <drawing r:id="rId2"/>
  <legacy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E1F0900-AE32-4767-82FA-BC8896356A94}">
  <sheetPr>
    <tabColor theme="0"/>
  </sheetPr>
  <dimension ref="A1:H3333"/>
  <sheetViews>
    <sheetView view="pageLayout" topLeftCell="A112" zoomScale="70" zoomScaleNormal="80" zoomScaleSheetLayoutView="70" zoomScalePageLayoutView="70" workbookViewId="0">
      <selection activeCell="C198" sqref="C198"/>
    </sheetView>
  </sheetViews>
  <sheetFormatPr defaultColWidth="9.140625" defaultRowHeight="24.95" customHeight="1" x14ac:dyDescent="0.25"/>
  <cols>
    <col min="1" max="1" width="0.85546875" style="241" customWidth="1"/>
    <col min="2" max="2" width="17.85546875" style="243" bestFit="1" customWidth="1"/>
    <col min="3" max="3" width="112" style="241" customWidth="1"/>
    <col min="4" max="4" width="15.28515625" style="241" customWidth="1"/>
    <col min="5" max="5" width="2.42578125" style="242" customWidth="1"/>
    <col min="9" max="16384" width="9.140625" style="241"/>
  </cols>
  <sheetData>
    <row r="1" spans="1:5" customFormat="1" ht="24.95" customHeight="1" x14ac:dyDescent="0.25">
      <c r="A1" s="241"/>
      <c r="B1" s="243"/>
      <c r="C1" s="241"/>
      <c r="D1" s="241"/>
      <c r="E1" s="241"/>
    </row>
    <row r="2" spans="1:5" customFormat="1" ht="24.95" customHeight="1" x14ac:dyDescent="0.25">
      <c r="A2" s="241"/>
      <c r="B2" s="243"/>
      <c r="C2" s="241"/>
      <c r="D2" s="241"/>
      <c r="E2" s="241"/>
    </row>
    <row r="3" spans="1:5" customFormat="1" ht="24.95" customHeight="1" x14ac:dyDescent="0.25">
      <c r="A3" s="241"/>
      <c r="B3" s="243"/>
      <c r="C3" s="241"/>
      <c r="D3" s="241"/>
      <c r="E3" s="241"/>
    </row>
    <row r="4" spans="1:5" customFormat="1" ht="24.95" customHeight="1" x14ac:dyDescent="0.25">
      <c r="A4" s="241"/>
      <c r="B4" s="243"/>
      <c r="C4" s="241"/>
      <c r="D4" s="241"/>
      <c r="E4" s="241"/>
    </row>
    <row r="5" spans="1:5" customFormat="1" ht="24.95" customHeight="1" x14ac:dyDescent="0.25">
      <c r="A5" s="241"/>
      <c r="B5" s="243"/>
      <c r="C5" s="241"/>
      <c r="D5" s="241"/>
      <c r="E5" s="241"/>
    </row>
    <row r="6" spans="1:5" customFormat="1" ht="24.95" customHeight="1" x14ac:dyDescent="0.25">
      <c r="A6" s="241"/>
      <c r="B6" s="243"/>
      <c r="C6" s="241"/>
      <c r="D6" s="241"/>
      <c r="E6" s="241"/>
    </row>
    <row r="7" spans="1:5" customFormat="1" ht="24.95" customHeight="1" x14ac:dyDescent="0.25">
      <c r="A7" s="241"/>
      <c r="B7" s="243"/>
      <c r="C7" s="241"/>
      <c r="D7" s="241"/>
      <c r="E7" s="241"/>
    </row>
    <row r="8" spans="1:5" customFormat="1" ht="24.95" customHeight="1" x14ac:dyDescent="0.25">
      <c r="A8" s="241"/>
      <c r="B8" s="243"/>
      <c r="C8" s="241"/>
      <c r="D8" s="241"/>
      <c r="E8" s="241"/>
    </row>
    <row r="9" spans="1:5" customFormat="1" ht="24.95" customHeight="1" x14ac:dyDescent="0.25">
      <c r="A9" s="241"/>
      <c r="B9" s="243"/>
      <c r="C9" s="241"/>
      <c r="D9" s="241"/>
      <c r="E9" s="241"/>
    </row>
    <row r="10" spans="1:5" customFormat="1" ht="24.95" customHeight="1" x14ac:dyDescent="0.25">
      <c r="A10" s="241"/>
      <c r="B10" s="243"/>
      <c r="C10" s="241"/>
      <c r="D10" s="241"/>
      <c r="E10" s="241"/>
    </row>
    <row r="11" spans="1:5" customFormat="1" ht="24.95" customHeight="1" x14ac:dyDescent="0.25">
      <c r="A11" s="241"/>
      <c r="B11" s="243"/>
      <c r="C11" s="241"/>
      <c r="D11" s="241"/>
      <c r="E11" s="241"/>
    </row>
    <row r="12" spans="1:5" customFormat="1" ht="24.95" customHeight="1" x14ac:dyDescent="0.25">
      <c r="A12" s="241"/>
      <c r="B12" s="243"/>
      <c r="C12" s="241"/>
      <c r="D12" s="241"/>
      <c r="E12" s="241"/>
    </row>
    <row r="13" spans="1:5" customFormat="1" ht="24.95" customHeight="1" x14ac:dyDescent="0.25">
      <c r="A13" s="241"/>
      <c r="B13" s="243"/>
      <c r="C13" s="241"/>
      <c r="D13" s="241"/>
      <c r="E13" s="241"/>
    </row>
    <row r="14" spans="1:5" customFormat="1" ht="24.95" customHeight="1" x14ac:dyDescent="0.25">
      <c r="A14" s="241"/>
      <c r="B14" s="243"/>
      <c r="C14" s="241"/>
      <c r="D14" s="241"/>
      <c r="E14" s="241"/>
    </row>
    <row r="15" spans="1:5" customFormat="1" ht="24.95" customHeight="1" x14ac:dyDescent="0.25">
      <c r="A15" s="241"/>
      <c r="B15" s="243"/>
      <c r="C15" s="241"/>
      <c r="D15" s="241"/>
      <c r="E15" s="241"/>
    </row>
    <row r="16" spans="1:5" customFormat="1" ht="24.95" customHeight="1" x14ac:dyDescent="0.25">
      <c r="A16" s="241"/>
      <c r="B16" s="243"/>
      <c r="C16" s="241"/>
      <c r="D16" s="241"/>
      <c r="E16" s="241"/>
    </row>
    <row r="17" spans="1:5" customFormat="1" ht="24.95" customHeight="1" x14ac:dyDescent="0.25">
      <c r="A17" s="241"/>
      <c r="B17" s="243"/>
      <c r="C17" s="241"/>
      <c r="D17" s="241"/>
      <c r="E17" s="241"/>
    </row>
    <row r="18" spans="1:5" customFormat="1" ht="24.95" customHeight="1" x14ac:dyDescent="0.25">
      <c r="A18" s="241"/>
      <c r="B18" s="243"/>
      <c r="C18" s="241"/>
      <c r="D18" s="241"/>
      <c r="E18" s="241"/>
    </row>
    <row r="19" spans="1:5" customFormat="1" ht="24.95" customHeight="1" x14ac:dyDescent="0.25">
      <c r="A19" s="241"/>
      <c r="B19" s="243"/>
      <c r="C19" s="241"/>
      <c r="D19" s="241"/>
      <c r="E19" s="241"/>
    </row>
    <row r="20" spans="1:5" customFormat="1" ht="24.95" customHeight="1" x14ac:dyDescent="0.25">
      <c r="A20" s="241"/>
      <c r="B20" s="243"/>
      <c r="C20" s="241"/>
      <c r="D20" s="241"/>
      <c r="E20" s="241"/>
    </row>
    <row r="21" spans="1:5" customFormat="1" ht="24.95" customHeight="1" x14ac:dyDescent="0.25">
      <c r="A21" s="241"/>
      <c r="B21" s="243"/>
      <c r="C21" s="241"/>
      <c r="D21" s="241"/>
      <c r="E21" s="241"/>
    </row>
    <row r="22" spans="1:5" customFormat="1" ht="24.95" customHeight="1" x14ac:dyDescent="0.25">
      <c r="A22" s="241"/>
      <c r="B22" s="243"/>
      <c r="C22" s="241"/>
      <c r="D22" s="241"/>
      <c r="E22" s="241"/>
    </row>
    <row r="23" spans="1:5" customFormat="1" ht="24.95" customHeight="1" x14ac:dyDescent="0.25">
      <c r="A23" s="241"/>
      <c r="B23" s="243"/>
      <c r="C23" s="241"/>
      <c r="D23" s="241"/>
      <c r="E23" s="241"/>
    </row>
    <row r="24" spans="1:5" customFormat="1" ht="24.95" customHeight="1" x14ac:dyDescent="0.25">
      <c r="A24" s="241"/>
      <c r="B24" s="243"/>
      <c r="C24" s="241"/>
      <c r="D24" s="241"/>
      <c r="E24" s="241"/>
    </row>
    <row r="25" spans="1:5" customFormat="1" ht="24.95" customHeight="1" x14ac:dyDescent="0.25">
      <c r="A25" s="241"/>
      <c r="B25" s="243"/>
      <c r="C25" s="241"/>
      <c r="D25" s="241"/>
      <c r="E25" s="241"/>
    </row>
    <row r="26" spans="1:5" customFormat="1" ht="24.95" customHeight="1" x14ac:dyDescent="0.25">
      <c r="A26" s="241"/>
      <c r="B26" s="243"/>
      <c r="C26" s="241"/>
      <c r="D26" s="241"/>
      <c r="E26" s="241"/>
    </row>
    <row r="27" spans="1:5" customFormat="1" ht="24.95" customHeight="1" x14ac:dyDescent="0.25">
      <c r="A27" s="241"/>
      <c r="B27" s="243"/>
      <c r="C27" s="241"/>
      <c r="D27" s="241"/>
      <c r="E27" s="241"/>
    </row>
    <row r="28" spans="1:5" customFormat="1" ht="24.95" customHeight="1" x14ac:dyDescent="0.25">
      <c r="A28" s="241"/>
      <c r="B28" s="243"/>
      <c r="C28" s="241"/>
      <c r="D28" s="241"/>
      <c r="E28" s="241"/>
    </row>
    <row r="29" spans="1:5" customFormat="1" ht="24.95" customHeight="1" x14ac:dyDescent="0.25">
      <c r="A29" s="241"/>
      <c r="B29" s="243"/>
      <c r="C29" s="241"/>
      <c r="D29" s="241"/>
      <c r="E29" s="241"/>
    </row>
    <row r="30" spans="1:5" customFormat="1" ht="24.95" customHeight="1" x14ac:dyDescent="0.25">
      <c r="A30" s="241"/>
      <c r="B30" s="243"/>
      <c r="C30" s="241"/>
      <c r="D30" s="241"/>
      <c r="E30" s="241"/>
    </row>
    <row r="31" spans="1:5" customFormat="1" ht="24.95" customHeight="1" x14ac:dyDescent="0.25">
      <c r="A31" s="241"/>
      <c r="B31" s="243"/>
      <c r="C31" s="241"/>
      <c r="D31" s="241"/>
      <c r="E31" s="241"/>
    </row>
    <row r="32" spans="1:5" customFormat="1" ht="24.95" customHeight="1" x14ac:dyDescent="0.25">
      <c r="A32" s="241"/>
      <c r="B32" s="243"/>
      <c r="C32" s="241"/>
      <c r="D32" s="241"/>
      <c r="E32" s="241"/>
    </row>
    <row r="33" spans="1:5" customFormat="1" ht="24.95" customHeight="1" x14ac:dyDescent="0.25">
      <c r="A33" s="241"/>
      <c r="B33" s="243"/>
      <c r="C33" s="241"/>
      <c r="D33" s="241"/>
      <c r="E33" s="241"/>
    </row>
    <row r="34" spans="1:5" customFormat="1" ht="24.95" customHeight="1" x14ac:dyDescent="0.25">
      <c r="A34" s="241"/>
      <c r="B34" s="243"/>
      <c r="C34" s="241"/>
      <c r="D34" s="241"/>
      <c r="E34" s="241"/>
    </row>
    <row r="35" spans="1:5" customFormat="1" ht="24.95" customHeight="1" x14ac:dyDescent="0.25">
      <c r="A35" s="241"/>
      <c r="B35" s="243"/>
      <c r="C35" s="241"/>
      <c r="D35" s="241"/>
      <c r="E35" s="241"/>
    </row>
    <row r="36" spans="1:5" customFormat="1" ht="24.95" customHeight="1" x14ac:dyDescent="0.25">
      <c r="A36" s="241"/>
      <c r="B36" s="243"/>
      <c r="C36" s="241"/>
      <c r="D36" s="241"/>
      <c r="E36" s="241"/>
    </row>
    <row r="37" spans="1:5" customFormat="1" ht="24.95" customHeight="1" x14ac:dyDescent="0.25">
      <c r="A37" s="241"/>
      <c r="B37" s="243"/>
      <c r="C37" s="241"/>
      <c r="D37" s="241"/>
      <c r="E37" s="241"/>
    </row>
    <row r="38" spans="1:5" customFormat="1" ht="24.95" customHeight="1" x14ac:dyDescent="0.25">
      <c r="A38" s="241"/>
      <c r="B38" s="243"/>
      <c r="C38" s="241"/>
      <c r="D38" s="241"/>
      <c r="E38" s="241"/>
    </row>
    <row r="39" spans="1:5" customFormat="1" ht="24.95" customHeight="1" x14ac:dyDescent="0.25">
      <c r="A39" s="241"/>
      <c r="B39" s="243"/>
      <c r="C39" s="241"/>
      <c r="D39" s="241"/>
      <c r="E39" s="241"/>
    </row>
    <row r="40" spans="1:5" customFormat="1" ht="24.95" customHeight="1" x14ac:dyDescent="0.25">
      <c r="A40" s="241"/>
      <c r="B40" s="243"/>
      <c r="C40" s="241"/>
      <c r="D40" s="241"/>
      <c r="E40" s="241"/>
    </row>
    <row r="41" spans="1:5" customFormat="1" ht="24.95" customHeight="1" x14ac:dyDescent="0.25">
      <c r="A41" s="241"/>
      <c r="B41" s="243"/>
      <c r="C41" s="241"/>
      <c r="D41" s="241"/>
      <c r="E41" s="241"/>
    </row>
    <row r="42" spans="1:5" customFormat="1" ht="24.95" customHeight="1" x14ac:dyDescent="0.25">
      <c r="A42" s="241"/>
      <c r="B42" s="243"/>
      <c r="C42" s="241"/>
      <c r="D42" s="241"/>
      <c r="E42" s="241"/>
    </row>
    <row r="43" spans="1:5" customFormat="1" ht="24.95" customHeight="1" x14ac:dyDescent="0.25">
      <c r="A43" s="241"/>
      <c r="B43" s="243"/>
      <c r="C43" s="241"/>
      <c r="D43" s="241"/>
      <c r="E43" s="241"/>
    </row>
    <row r="44" spans="1:5" customFormat="1" ht="24.95" customHeight="1" x14ac:dyDescent="0.25">
      <c r="A44" s="241"/>
      <c r="B44" s="243"/>
      <c r="C44" s="241"/>
      <c r="D44" s="241"/>
      <c r="E44" s="241"/>
    </row>
    <row r="45" spans="1:5" customFormat="1" ht="24.95" customHeight="1" x14ac:dyDescent="0.25">
      <c r="A45" s="241"/>
      <c r="B45" s="243"/>
      <c r="C45" s="241"/>
      <c r="D45" s="241"/>
      <c r="E45" s="241"/>
    </row>
    <row r="46" spans="1:5" customFormat="1" ht="24.95" customHeight="1" x14ac:dyDescent="0.25">
      <c r="A46" s="241"/>
      <c r="B46" s="243"/>
      <c r="C46" s="241"/>
      <c r="D46" s="241"/>
      <c r="E46" s="241"/>
    </row>
    <row r="47" spans="1:5" customFormat="1" ht="24.95" customHeight="1" x14ac:dyDescent="0.25">
      <c r="A47" s="241"/>
      <c r="B47" s="243"/>
      <c r="C47" s="241"/>
      <c r="D47" s="241"/>
      <c r="E47" s="241"/>
    </row>
    <row r="48" spans="1:5" customFormat="1" ht="24.95" customHeight="1" x14ac:dyDescent="0.25">
      <c r="A48" s="241"/>
      <c r="B48" s="243"/>
      <c r="C48" s="241"/>
      <c r="D48" s="241"/>
      <c r="E48" s="241"/>
    </row>
    <row r="49" spans="1:5" customFormat="1" ht="24.95" customHeight="1" x14ac:dyDescent="0.25">
      <c r="A49" s="241"/>
      <c r="B49" s="243"/>
      <c r="C49" s="241"/>
      <c r="D49" s="241"/>
      <c r="E49" s="241"/>
    </row>
    <row r="50" spans="1:5" customFormat="1" ht="24.95" customHeight="1" x14ac:dyDescent="0.25">
      <c r="A50" s="241"/>
      <c r="B50" s="243"/>
      <c r="C50" s="241"/>
      <c r="D50" s="241"/>
      <c r="E50" s="241"/>
    </row>
    <row r="51" spans="1:5" customFormat="1" ht="24.95" customHeight="1" x14ac:dyDescent="0.25">
      <c r="A51" s="241"/>
      <c r="B51" s="243"/>
      <c r="C51" s="241"/>
      <c r="D51" s="241"/>
      <c r="E51" s="241"/>
    </row>
    <row r="52" spans="1:5" customFormat="1" ht="24.95" customHeight="1" x14ac:dyDescent="0.25">
      <c r="A52" s="241"/>
      <c r="B52" s="243"/>
      <c r="C52" s="241"/>
      <c r="D52" s="241"/>
      <c r="E52" s="241"/>
    </row>
    <row r="53" spans="1:5" customFormat="1" ht="24.95" customHeight="1" x14ac:dyDescent="0.25">
      <c r="A53" s="241"/>
      <c r="B53" s="243"/>
      <c r="C53" s="241"/>
      <c r="D53" s="241"/>
      <c r="E53" s="241"/>
    </row>
    <row r="54" spans="1:5" customFormat="1" ht="24.95" customHeight="1" x14ac:dyDescent="0.25">
      <c r="A54" s="241"/>
      <c r="B54" s="243"/>
      <c r="C54" s="241"/>
      <c r="D54" s="241"/>
      <c r="E54" s="241"/>
    </row>
    <row r="55" spans="1:5" customFormat="1" ht="24.95" customHeight="1" x14ac:dyDescent="0.25">
      <c r="A55" s="241"/>
      <c r="B55" s="243"/>
      <c r="C55" s="241"/>
      <c r="D55" s="241"/>
      <c r="E55" s="241"/>
    </row>
    <row r="56" spans="1:5" customFormat="1" ht="24.95" customHeight="1" x14ac:dyDescent="0.25">
      <c r="A56" s="241"/>
      <c r="B56" s="243"/>
      <c r="C56" s="241"/>
      <c r="D56" s="241"/>
      <c r="E56" s="241"/>
    </row>
    <row r="57" spans="1:5" customFormat="1" ht="24.95" customHeight="1" x14ac:dyDescent="0.25">
      <c r="A57" s="241"/>
      <c r="B57" s="243"/>
      <c r="C57" s="241"/>
      <c r="D57" s="241"/>
      <c r="E57" s="241"/>
    </row>
    <row r="58" spans="1:5" customFormat="1" ht="24.95" customHeight="1" x14ac:dyDescent="0.25">
      <c r="A58" s="241"/>
      <c r="B58" s="243"/>
      <c r="C58" s="241"/>
      <c r="D58" s="241"/>
      <c r="E58" s="241"/>
    </row>
    <row r="59" spans="1:5" customFormat="1" ht="24.95" customHeight="1" x14ac:dyDescent="0.25">
      <c r="A59" s="241"/>
      <c r="B59" s="243"/>
      <c r="C59" s="241"/>
      <c r="D59" s="241"/>
      <c r="E59" s="241"/>
    </row>
    <row r="60" spans="1:5" customFormat="1" ht="24.95" customHeight="1" x14ac:dyDescent="0.25">
      <c r="A60" s="241"/>
      <c r="B60" s="243"/>
      <c r="C60" s="241"/>
      <c r="D60" s="241"/>
      <c r="E60" s="241"/>
    </row>
    <row r="61" spans="1:5" customFormat="1" ht="24.95" customHeight="1" x14ac:dyDescent="0.25">
      <c r="A61" s="241"/>
      <c r="B61" s="243"/>
      <c r="C61" s="241"/>
      <c r="D61" s="241"/>
      <c r="E61" s="241"/>
    </row>
    <row r="62" spans="1:5" customFormat="1" ht="24.95" customHeight="1" x14ac:dyDescent="0.25">
      <c r="A62" s="241"/>
      <c r="B62" s="243"/>
      <c r="C62" s="241"/>
      <c r="D62" s="241"/>
      <c r="E62" s="241"/>
    </row>
    <row r="63" spans="1:5" customFormat="1" ht="24.95" customHeight="1" x14ac:dyDescent="0.25">
      <c r="A63" s="241"/>
      <c r="B63" s="243"/>
      <c r="C63" s="241"/>
      <c r="D63" s="241"/>
      <c r="E63" s="241"/>
    </row>
    <row r="64" spans="1:5" customFormat="1" ht="24.95" customHeight="1" x14ac:dyDescent="0.25">
      <c r="A64" s="241"/>
      <c r="B64" s="243"/>
      <c r="C64" s="241"/>
      <c r="D64" s="241"/>
      <c r="E64" s="241"/>
    </row>
    <row r="65" spans="1:5" customFormat="1" ht="24.95" customHeight="1" x14ac:dyDescent="0.25">
      <c r="A65" s="241"/>
      <c r="B65" s="243"/>
      <c r="C65" s="241"/>
      <c r="D65" s="241"/>
      <c r="E65" s="241"/>
    </row>
    <row r="66" spans="1:5" customFormat="1" ht="24.95" customHeight="1" x14ac:dyDescent="0.25">
      <c r="A66" s="241"/>
      <c r="B66" s="243"/>
      <c r="C66" s="241"/>
      <c r="D66" s="241"/>
      <c r="E66" s="241"/>
    </row>
    <row r="67" spans="1:5" customFormat="1" ht="24.95" customHeight="1" x14ac:dyDescent="0.25">
      <c r="A67" s="241"/>
      <c r="B67" s="243"/>
      <c r="C67" s="241"/>
      <c r="D67" s="241"/>
      <c r="E67" s="241"/>
    </row>
    <row r="68" spans="1:5" customFormat="1" ht="24.95" customHeight="1" x14ac:dyDescent="0.25">
      <c r="A68" s="241"/>
      <c r="B68" s="243"/>
      <c r="C68" s="241"/>
      <c r="D68" s="241"/>
      <c r="E68" s="241"/>
    </row>
    <row r="69" spans="1:5" customFormat="1" ht="24.95" customHeight="1" x14ac:dyDescent="0.25">
      <c r="A69" s="241"/>
      <c r="B69" s="243"/>
      <c r="C69" s="241"/>
      <c r="D69" s="241"/>
      <c r="E69" s="241"/>
    </row>
    <row r="70" spans="1:5" customFormat="1" ht="24.95" customHeight="1" x14ac:dyDescent="0.25">
      <c r="A70" s="241"/>
      <c r="B70" s="243"/>
      <c r="C70" s="241"/>
      <c r="D70" s="241"/>
      <c r="E70" s="241"/>
    </row>
    <row r="71" spans="1:5" customFormat="1" ht="24.95" customHeight="1" x14ac:dyDescent="0.25">
      <c r="A71" s="241"/>
      <c r="B71" s="243"/>
      <c r="C71" s="241"/>
      <c r="D71" s="241"/>
      <c r="E71" s="241"/>
    </row>
    <row r="72" spans="1:5" customFormat="1" ht="24.95" customHeight="1" x14ac:dyDescent="0.25">
      <c r="A72" s="241"/>
      <c r="B72" s="243"/>
      <c r="C72" s="241"/>
      <c r="D72" s="241"/>
      <c r="E72" s="241"/>
    </row>
    <row r="73" spans="1:5" customFormat="1" ht="24.95" customHeight="1" x14ac:dyDescent="0.25">
      <c r="A73" s="241"/>
      <c r="B73" s="243"/>
      <c r="C73" s="241"/>
      <c r="D73" s="241"/>
      <c r="E73" s="241"/>
    </row>
    <row r="74" spans="1:5" customFormat="1" ht="24.95" customHeight="1" x14ac:dyDescent="0.25">
      <c r="A74" s="241"/>
      <c r="B74" s="243"/>
      <c r="C74" s="241"/>
      <c r="D74" s="241"/>
      <c r="E74" s="241"/>
    </row>
    <row r="75" spans="1:5" customFormat="1" ht="24.95" customHeight="1" x14ac:dyDescent="0.25">
      <c r="A75" s="241"/>
      <c r="B75" s="243"/>
      <c r="C75" s="241"/>
      <c r="D75" s="241"/>
      <c r="E75" s="241"/>
    </row>
    <row r="76" spans="1:5" customFormat="1" ht="24.95" customHeight="1" x14ac:dyDescent="0.25">
      <c r="A76" s="241"/>
      <c r="B76" s="243"/>
      <c r="C76" s="241"/>
      <c r="D76" s="241"/>
      <c r="E76" s="241"/>
    </row>
    <row r="77" spans="1:5" customFormat="1" ht="24.95" customHeight="1" x14ac:dyDescent="0.25">
      <c r="A77" s="241"/>
      <c r="B77" s="243"/>
      <c r="C77" s="241"/>
      <c r="D77" s="241"/>
      <c r="E77" s="241"/>
    </row>
    <row r="78" spans="1:5" customFormat="1" ht="24.95" customHeight="1" x14ac:dyDescent="0.25">
      <c r="A78" s="241"/>
      <c r="B78" s="243"/>
      <c r="C78" s="241"/>
      <c r="D78" s="241"/>
      <c r="E78" s="241"/>
    </row>
    <row r="79" spans="1:5" customFormat="1" ht="24.95" customHeight="1" x14ac:dyDescent="0.25">
      <c r="A79" s="241"/>
      <c r="B79" s="243"/>
      <c r="C79" s="241"/>
      <c r="D79" s="241"/>
      <c r="E79" s="241"/>
    </row>
    <row r="80" spans="1:5" customFormat="1" ht="24.95" customHeight="1" x14ac:dyDescent="0.25">
      <c r="A80" s="241"/>
      <c r="B80" s="243"/>
      <c r="C80" s="241"/>
      <c r="D80" s="241"/>
      <c r="E80" s="241"/>
    </row>
    <row r="81" spans="1:5" customFormat="1" ht="24.95" customHeight="1" x14ac:dyDescent="0.25">
      <c r="A81" s="241"/>
      <c r="B81" s="243"/>
      <c r="C81" s="241"/>
      <c r="D81" s="241"/>
      <c r="E81" s="241"/>
    </row>
    <row r="82" spans="1:5" customFormat="1" ht="24.95" customHeight="1" x14ac:dyDescent="0.25">
      <c r="A82" s="241"/>
      <c r="B82" s="243"/>
      <c r="C82" s="241"/>
      <c r="D82" s="241"/>
      <c r="E82" s="241"/>
    </row>
    <row r="83" spans="1:5" customFormat="1" ht="24.95" customHeight="1" x14ac:dyDescent="0.25">
      <c r="A83" s="241"/>
      <c r="B83" s="243"/>
      <c r="C83" s="241"/>
      <c r="D83" s="241"/>
      <c r="E83" s="241"/>
    </row>
    <row r="84" spans="1:5" customFormat="1" ht="24.95" customHeight="1" x14ac:dyDescent="0.25">
      <c r="A84" s="241"/>
      <c r="B84" s="243"/>
      <c r="C84" s="241"/>
      <c r="D84" s="241"/>
      <c r="E84" s="241"/>
    </row>
    <row r="85" spans="1:5" customFormat="1" ht="24.95" customHeight="1" x14ac:dyDescent="0.25">
      <c r="A85" s="241"/>
      <c r="B85" s="243"/>
      <c r="C85" s="241"/>
      <c r="D85" s="241"/>
      <c r="E85" s="241"/>
    </row>
    <row r="86" spans="1:5" customFormat="1" ht="24.95" customHeight="1" x14ac:dyDescent="0.25">
      <c r="A86" s="241"/>
      <c r="B86" s="243"/>
      <c r="C86" s="241"/>
      <c r="D86" s="241"/>
      <c r="E86" s="241"/>
    </row>
    <row r="87" spans="1:5" customFormat="1" ht="24.95" customHeight="1" x14ac:dyDescent="0.25">
      <c r="A87" s="241"/>
      <c r="B87" s="243"/>
      <c r="C87" s="241"/>
      <c r="D87" s="241"/>
      <c r="E87" s="241"/>
    </row>
    <row r="88" spans="1:5" customFormat="1" ht="24.95" customHeight="1" x14ac:dyDescent="0.25">
      <c r="A88" s="241"/>
      <c r="B88" s="243"/>
      <c r="C88" s="241"/>
      <c r="D88" s="241"/>
      <c r="E88" s="241"/>
    </row>
    <row r="89" spans="1:5" customFormat="1" ht="24.95" customHeight="1" x14ac:dyDescent="0.25">
      <c r="A89" s="241"/>
      <c r="B89" s="243"/>
      <c r="C89" s="241"/>
      <c r="D89" s="241"/>
      <c r="E89" s="241"/>
    </row>
    <row r="90" spans="1:5" customFormat="1" ht="24.95" customHeight="1" x14ac:dyDescent="0.25">
      <c r="A90" s="241"/>
      <c r="B90" s="243"/>
      <c r="C90" s="241"/>
      <c r="D90" s="241"/>
      <c r="E90" s="241"/>
    </row>
    <row r="91" spans="1:5" customFormat="1" ht="24.95" customHeight="1" x14ac:dyDescent="0.25">
      <c r="A91" s="241"/>
      <c r="B91" s="243"/>
      <c r="C91" s="241"/>
      <c r="D91" s="241"/>
      <c r="E91" s="241"/>
    </row>
    <row r="92" spans="1:5" customFormat="1" ht="24.95" customHeight="1" x14ac:dyDescent="0.25">
      <c r="A92" s="241"/>
      <c r="B92" s="243"/>
      <c r="C92" s="241"/>
      <c r="D92" s="241"/>
      <c r="E92" s="241"/>
    </row>
    <row r="93" spans="1:5" customFormat="1" ht="24.95" customHeight="1" x14ac:dyDescent="0.25">
      <c r="A93" s="241"/>
      <c r="B93" s="243"/>
      <c r="C93" s="241"/>
      <c r="D93" s="241"/>
      <c r="E93" s="241"/>
    </row>
    <row r="94" spans="1:5" customFormat="1" ht="24.95" customHeight="1" x14ac:dyDescent="0.25">
      <c r="A94" s="241"/>
      <c r="B94" s="243"/>
      <c r="C94" s="241"/>
      <c r="D94" s="241"/>
      <c r="E94" s="241"/>
    </row>
    <row r="95" spans="1:5" customFormat="1" ht="24.95" customHeight="1" x14ac:dyDescent="0.25">
      <c r="A95" s="241"/>
      <c r="B95" s="243"/>
      <c r="C95" s="241"/>
      <c r="D95" s="241"/>
      <c r="E95" s="241"/>
    </row>
    <row r="96" spans="1:5" customFormat="1" ht="24.95" customHeight="1" x14ac:dyDescent="0.25">
      <c r="A96" s="241"/>
      <c r="B96" s="243"/>
      <c r="C96" s="241"/>
      <c r="D96" s="241"/>
      <c r="E96" s="241"/>
    </row>
    <row r="97" spans="1:5" customFormat="1" ht="24.95" customHeight="1" x14ac:dyDescent="0.25">
      <c r="A97" s="241"/>
      <c r="B97" s="243"/>
      <c r="C97" s="241"/>
      <c r="D97" s="241"/>
      <c r="E97" s="241"/>
    </row>
    <row r="98" spans="1:5" customFormat="1" ht="24.95" customHeight="1" x14ac:dyDescent="0.25">
      <c r="A98" s="241"/>
      <c r="B98" s="243"/>
      <c r="C98" s="241"/>
      <c r="D98" s="241"/>
      <c r="E98" s="241"/>
    </row>
    <row r="99" spans="1:5" customFormat="1" ht="24.95" customHeight="1" x14ac:dyDescent="0.25">
      <c r="A99" s="241"/>
      <c r="B99" s="243"/>
      <c r="C99" s="241"/>
      <c r="D99" s="241"/>
      <c r="E99" s="241"/>
    </row>
    <row r="100" spans="1:5" customFormat="1" ht="24.95" customHeight="1" x14ac:dyDescent="0.25">
      <c r="A100" s="241"/>
      <c r="B100" s="243"/>
      <c r="C100" s="241"/>
      <c r="D100" s="241"/>
      <c r="E100" s="241"/>
    </row>
    <row r="101" spans="1:5" customFormat="1" ht="24.95" customHeight="1" x14ac:dyDescent="0.25">
      <c r="A101" s="241"/>
      <c r="B101" s="243"/>
      <c r="C101" s="241"/>
      <c r="D101" s="241"/>
      <c r="E101" s="241"/>
    </row>
    <row r="102" spans="1:5" customFormat="1" ht="24.95" customHeight="1" x14ac:dyDescent="0.25">
      <c r="A102" s="241"/>
      <c r="B102" s="243"/>
      <c r="C102" s="241"/>
      <c r="D102" s="241"/>
      <c r="E102" s="241"/>
    </row>
    <row r="103" spans="1:5" customFormat="1" ht="24.95" customHeight="1" x14ac:dyDescent="0.25">
      <c r="A103" s="241"/>
      <c r="B103" s="243"/>
      <c r="C103" s="241"/>
      <c r="D103" s="241"/>
      <c r="E103" s="241"/>
    </row>
    <row r="104" spans="1:5" customFormat="1" ht="24.95" customHeight="1" x14ac:dyDescent="0.25">
      <c r="A104" s="241"/>
      <c r="B104" s="243"/>
      <c r="C104" s="241"/>
      <c r="D104" s="241"/>
      <c r="E104" s="241"/>
    </row>
    <row r="105" spans="1:5" customFormat="1" ht="24.95" customHeight="1" x14ac:dyDescent="0.25">
      <c r="A105" s="241"/>
      <c r="B105" s="243"/>
      <c r="C105" s="241"/>
      <c r="D105" s="241"/>
      <c r="E105" s="241"/>
    </row>
    <row r="106" spans="1:5" customFormat="1" ht="24.95" customHeight="1" x14ac:dyDescent="0.25">
      <c r="A106" s="241"/>
      <c r="B106" s="243"/>
      <c r="C106" s="241"/>
      <c r="D106" s="241"/>
      <c r="E106" s="241"/>
    </row>
    <row r="107" spans="1:5" customFormat="1" ht="24.95" customHeight="1" x14ac:dyDescent="0.25">
      <c r="A107" s="241"/>
      <c r="B107" s="243"/>
      <c r="C107" s="241"/>
      <c r="D107" s="241"/>
      <c r="E107" s="241"/>
    </row>
    <row r="108" spans="1:5" customFormat="1" ht="24.95" customHeight="1" x14ac:dyDescent="0.25">
      <c r="A108" s="241"/>
      <c r="B108" s="243"/>
      <c r="C108" s="241"/>
      <c r="D108" s="241"/>
      <c r="E108" s="241"/>
    </row>
    <row r="109" spans="1:5" customFormat="1" ht="24.95" customHeight="1" x14ac:dyDescent="0.25">
      <c r="A109" s="241"/>
      <c r="B109" s="243"/>
      <c r="C109" s="241"/>
      <c r="D109" s="241"/>
      <c r="E109" s="241"/>
    </row>
    <row r="110" spans="1:5" customFormat="1" ht="24.95" customHeight="1" x14ac:dyDescent="0.25">
      <c r="A110" s="241"/>
      <c r="B110" s="243"/>
      <c r="C110" s="241"/>
      <c r="D110" s="241"/>
      <c r="E110" s="241"/>
    </row>
    <row r="111" spans="1:5" customFormat="1" ht="24.95" customHeight="1" x14ac:dyDescent="0.25">
      <c r="A111" s="241"/>
      <c r="B111" s="243"/>
      <c r="C111" s="241"/>
      <c r="D111" s="241"/>
      <c r="E111" s="241"/>
    </row>
    <row r="112" spans="1:5" customFormat="1" ht="24.95" customHeight="1" x14ac:dyDescent="0.25">
      <c r="A112" s="241"/>
      <c r="B112" s="243"/>
      <c r="C112" s="241"/>
      <c r="D112" s="241"/>
      <c r="E112" s="241"/>
    </row>
    <row r="113" spans="1:5" customFormat="1" ht="24.95" customHeight="1" x14ac:dyDescent="0.25">
      <c r="A113" s="241"/>
      <c r="B113" s="243"/>
      <c r="C113" s="241"/>
      <c r="D113" s="241"/>
      <c r="E113" s="241"/>
    </row>
    <row r="114" spans="1:5" customFormat="1" ht="24.95" customHeight="1" x14ac:dyDescent="0.25">
      <c r="A114" s="241"/>
      <c r="B114" s="243"/>
      <c r="C114" s="241"/>
      <c r="D114" s="241"/>
      <c r="E114" s="241"/>
    </row>
    <row r="115" spans="1:5" customFormat="1" ht="24.95" customHeight="1" x14ac:dyDescent="0.25">
      <c r="A115" s="241"/>
      <c r="B115" s="243"/>
      <c r="C115" s="241"/>
      <c r="D115" s="241"/>
      <c r="E115" s="241"/>
    </row>
    <row r="116" spans="1:5" customFormat="1" ht="24.95" customHeight="1" x14ac:dyDescent="0.25">
      <c r="A116" s="241"/>
      <c r="B116" s="243"/>
      <c r="C116" s="241"/>
      <c r="D116" s="241"/>
      <c r="E116" s="241"/>
    </row>
    <row r="117" spans="1:5" customFormat="1" ht="24.95" customHeight="1" x14ac:dyDescent="0.25">
      <c r="A117" s="241"/>
      <c r="B117" s="243"/>
      <c r="C117" s="241"/>
      <c r="D117" s="241"/>
      <c r="E117" s="241"/>
    </row>
    <row r="118" spans="1:5" customFormat="1" ht="24.95" customHeight="1" x14ac:dyDescent="0.25">
      <c r="A118" s="241"/>
      <c r="B118" s="243"/>
      <c r="C118" s="241"/>
      <c r="D118" s="241"/>
      <c r="E118" s="241"/>
    </row>
    <row r="119" spans="1:5" customFormat="1" ht="24.95" customHeight="1" x14ac:dyDescent="0.25">
      <c r="A119" s="241"/>
      <c r="B119" s="243"/>
      <c r="C119" s="241"/>
      <c r="D119" s="241"/>
      <c r="E119" s="241"/>
    </row>
    <row r="120" spans="1:5" customFormat="1" ht="24.95" customHeight="1" x14ac:dyDescent="0.25">
      <c r="A120" s="241"/>
      <c r="B120" s="243"/>
      <c r="C120" s="241"/>
      <c r="D120" s="241"/>
      <c r="E120" s="241"/>
    </row>
    <row r="121" spans="1:5" customFormat="1" ht="24.95" customHeight="1" x14ac:dyDescent="0.25">
      <c r="A121" s="241"/>
      <c r="B121" s="243"/>
      <c r="C121" s="241"/>
      <c r="D121" s="241"/>
      <c r="E121" s="241"/>
    </row>
    <row r="122" spans="1:5" customFormat="1" ht="24.95" customHeight="1" x14ac:dyDescent="0.25">
      <c r="A122" s="241"/>
      <c r="B122" s="243"/>
      <c r="C122" s="241"/>
      <c r="D122" s="241"/>
      <c r="E122" s="241"/>
    </row>
    <row r="123" spans="1:5" customFormat="1" ht="24.95" customHeight="1" x14ac:dyDescent="0.25">
      <c r="A123" s="241"/>
      <c r="B123" s="243"/>
      <c r="C123" s="241"/>
      <c r="D123" s="241"/>
      <c r="E123" s="241"/>
    </row>
    <row r="124" spans="1:5" customFormat="1" ht="24.95" customHeight="1" x14ac:dyDescent="0.25">
      <c r="A124" s="241"/>
      <c r="B124" s="243"/>
      <c r="C124" s="241"/>
      <c r="D124" s="241"/>
      <c r="E124" s="241"/>
    </row>
    <row r="125" spans="1:5" customFormat="1" ht="24.95" customHeight="1" x14ac:dyDescent="0.25">
      <c r="A125" s="241"/>
      <c r="B125" s="243"/>
      <c r="C125" s="241"/>
      <c r="D125" s="241"/>
      <c r="E125" s="241"/>
    </row>
    <row r="126" spans="1:5" customFormat="1" ht="24.95" customHeight="1" x14ac:dyDescent="0.25">
      <c r="A126" s="241"/>
      <c r="B126" s="243"/>
      <c r="C126" s="241"/>
      <c r="D126" s="241"/>
      <c r="E126" s="241"/>
    </row>
    <row r="127" spans="1:5" customFormat="1" ht="24.95" customHeight="1" x14ac:dyDescent="0.25">
      <c r="A127" s="241"/>
      <c r="B127" s="243"/>
      <c r="C127" s="241"/>
      <c r="D127" s="241"/>
      <c r="E127" s="241"/>
    </row>
    <row r="128" spans="1:5" customFormat="1" ht="24.95" customHeight="1" x14ac:dyDescent="0.25">
      <c r="A128" s="241"/>
      <c r="B128" s="243"/>
      <c r="C128" s="241"/>
      <c r="D128" s="241"/>
      <c r="E128" s="241"/>
    </row>
    <row r="129" spans="1:5" customFormat="1" ht="24.95" customHeight="1" x14ac:dyDescent="0.25">
      <c r="A129" s="241"/>
      <c r="B129" s="243"/>
      <c r="C129" s="241"/>
      <c r="D129" s="241"/>
      <c r="E129" s="241"/>
    </row>
    <row r="130" spans="1:5" customFormat="1" ht="24.95" customHeight="1" x14ac:dyDescent="0.25">
      <c r="A130" s="241"/>
      <c r="B130" s="243"/>
      <c r="C130" s="241"/>
      <c r="D130" s="241"/>
      <c r="E130" s="241"/>
    </row>
    <row r="131" spans="1:5" customFormat="1" ht="24.95" customHeight="1" x14ac:dyDescent="0.25">
      <c r="A131" s="241"/>
      <c r="B131" s="243"/>
      <c r="C131" s="241"/>
      <c r="D131" s="241"/>
      <c r="E131" s="241"/>
    </row>
    <row r="132" spans="1:5" customFormat="1" ht="24.95" customHeight="1" x14ac:dyDescent="0.25">
      <c r="A132" s="241"/>
      <c r="B132" s="243"/>
      <c r="C132" s="241"/>
      <c r="D132" s="241"/>
      <c r="E132" s="241"/>
    </row>
    <row r="133" spans="1:5" customFormat="1" ht="24.95" customHeight="1" x14ac:dyDescent="0.25">
      <c r="A133" s="241"/>
      <c r="B133" s="243"/>
      <c r="C133" s="241"/>
      <c r="D133" s="241"/>
      <c r="E133" s="241"/>
    </row>
    <row r="134" spans="1:5" customFormat="1" ht="24.95" customHeight="1" x14ac:dyDescent="0.25">
      <c r="A134" s="241"/>
      <c r="B134" s="243"/>
      <c r="C134" s="241"/>
      <c r="D134" s="241"/>
      <c r="E134" s="241"/>
    </row>
    <row r="135" spans="1:5" customFormat="1" ht="24.95" customHeight="1" x14ac:dyDescent="0.25">
      <c r="A135" s="241"/>
      <c r="B135" s="243"/>
      <c r="C135" s="241"/>
      <c r="D135" s="241"/>
      <c r="E135" s="241"/>
    </row>
    <row r="136" spans="1:5" customFormat="1" ht="24.95" customHeight="1" x14ac:dyDescent="0.25">
      <c r="A136" s="241"/>
      <c r="B136" s="243"/>
      <c r="C136" s="241"/>
      <c r="D136" s="241"/>
      <c r="E136" s="241"/>
    </row>
    <row r="137" spans="1:5" customFormat="1" ht="24.95" customHeight="1" x14ac:dyDescent="0.25">
      <c r="A137" s="241"/>
      <c r="B137" s="243"/>
      <c r="C137" s="241"/>
      <c r="D137" s="241"/>
      <c r="E137" s="241"/>
    </row>
    <row r="138" spans="1:5" customFormat="1" ht="24.95" customHeight="1" x14ac:dyDescent="0.25">
      <c r="A138" s="241"/>
      <c r="B138" s="243"/>
      <c r="C138" s="241"/>
      <c r="D138" s="241"/>
      <c r="E138" s="241"/>
    </row>
    <row r="139" spans="1:5" customFormat="1" ht="24.95" customHeight="1" x14ac:dyDescent="0.25">
      <c r="A139" s="241"/>
      <c r="B139" s="243"/>
      <c r="C139" s="241"/>
      <c r="D139" s="241"/>
      <c r="E139" s="241"/>
    </row>
    <row r="140" spans="1:5" customFormat="1" ht="24.95" customHeight="1" x14ac:dyDescent="0.25">
      <c r="A140" s="241"/>
      <c r="B140" s="243"/>
      <c r="C140" s="241"/>
      <c r="D140" s="241"/>
      <c r="E140" s="241"/>
    </row>
    <row r="141" spans="1:5" customFormat="1" ht="24.95" customHeight="1" x14ac:dyDescent="0.25">
      <c r="A141" s="241"/>
      <c r="B141" s="243"/>
      <c r="C141" s="241"/>
      <c r="D141" s="241"/>
      <c r="E141" s="241"/>
    </row>
    <row r="142" spans="1:5" customFormat="1" ht="24.95" customHeight="1" x14ac:dyDescent="0.25">
      <c r="A142" s="241"/>
      <c r="B142" s="243"/>
      <c r="C142" s="241"/>
      <c r="D142" s="241"/>
      <c r="E142" s="241"/>
    </row>
    <row r="143" spans="1:5" customFormat="1" ht="24.95" customHeight="1" x14ac:dyDescent="0.25">
      <c r="A143" s="241"/>
      <c r="B143" s="243"/>
      <c r="C143" s="241"/>
      <c r="D143" s="241"/>
      <c r="E143" s="241"/>
    </row>
    <row r="144" spans="1:5" customFormat="1" ht="24.95" customHeight="1" x14ac:dyDescent="0.25">
      <c r="A144" s="241"/>
      <c r="B144" s="243"/>
      <c r="C144" s="241"/>
      <c r="D144" s="241"/>
      <c r="E144" s="241"/>
    </row>
    <row r="145" spans="1:5" customFormat="1" ht="24.95" customHeight="1" x14ac:dyDescent="0.25">
      <c r="A145" s="241"/>
      <c r="B145" s="243"/>
      <c r="C145" s="241"/>
      <c r="D145" s="241"/>
      <c r="E145" s="241"/>
    </row>
    <row r="146" spans="1:5" customFormat="1" ht="24.95" customHeight="1" x14ac:dyDescent="0.25">
      <c r="A146" s="241"/>
      <c r="B146" s="243"/>
      <c r="C146" s="241"/>
      <c r="D146" s="241"/>
      <c r="E146" s="241"/>
    </row>
    <row r="147" spans="1:5" customFormat="1" ht="24.95" customHeight="1" x14ac:dyDescent="0.25">
      <c r="A147" s="241"/>
      <c r="B147" s="243"/>
      <c r="C147" s="241"/>
      <c r="D147" s="241"/>
      <c r="E147" s="241"/>
    </row>
    <row r="148" spans="1:5" customFormat="1" ht="24.95" customHeight="1" x14ac:dyDescent="0.25">
      <c r="A148" s="241"/>
      <c r="B148" s="243"/>
      <c r="C148" s="241"/>
      <c r="D148" s="241"/>
      <c r="E148" s="241"/>
    </row>
    <row r="149" spans="1:5" customFormat="1" ht="24.95" customHeight="1" x14ac:dyDescent="0.25">
      <c r="A149" s="241"/>
      <c r="B149" s="243"/>
      <c r="C149" s="241"/>
      <c r="D149" s="241"/>
      <c r="E149" s="241"/>
    </row>
    <row r="150" spans="1:5" customFormat="1" ht="24.95" customHeight="1" x14ac:dyDescent="0.25">
      <c r="A150" s="241"/>
      <c r="B150" s="243"/>
      <c r="C150" s="241"/>
      <c r="D150" s="241"/>
      <c r="E150" s="241"/>
    </row>
    <row r="151" spans="1:5" customFormat="1" ht="24.95" customHeight="1" x14ac:dyDescent="0.25">
      <c r="A151" s="241"/>
      <c r="B151" s="243"/>
      <c r="C151" s="241"/>
      <c r="D151" s="241"/>
      <c r="E151" s="241"/>
    </row>
    <row r="152" spans="1:5" customFormat="1" ht="24.95" customHeight="1" x14ac:dyDescent="0.25">
      <c r="A152" s="241"/>
      <c r="B152" s="243"/>
      <c r="C152" s="241"/>
      <c r="D152" s="241"/>
      <c r="E152" s="241"/>
    </row>
    <row r="153" spans="1:5" customFormat="1" ht="24.95" customHeight="1" x14ac:dyDescent="0.25">
      <c r="A153" s="241"/>
      <c r="B153" s="243"/>
      <c r="C153" s="241"/>
      <c r="D153" s="241"/>
      <c r="E153" s="241"/>
    </row>
    <row r="154" spans="1:5" customFormat="1" ht="24.95" customHeight="1" x14ac:dyDescent="0.25">
      <c r="A154" s="241"/>
      <c r="B154" s="243"/>
      <c r="C154" s="241"/>
      <c r="D154" s="241"/>
      <c r="E154" s="241"/>
    </row>
    <row r="155" spans="1:5" customFormat="1" ht="24.95" customHeight="1" x14ac:dyDescent="0.25">
      <c r="A155" s="241"/>
      <c r="B155" s="243"/>
      <c r="C155" s="241"/>
      <c r="D155" s="241"/>
      <c r="E155" s="241"/>
    </row>
    <row r="156" spans="1:5" customFormat="1" ht="24.95" customHeight="1" x14ac:dyDescent="0.25">
      <c r="A156" s="241"/>
      <c r="B156" s="243"/>
      <c r="C156" s="241"/>
      <c r="D156" s="241"/>
      <c r="E156" s="241"/>
    </row>
    <row r="157" spans="1:5" customFormat="1" ht="24.95" customHeight="1" x14ac:dyDescent="0.25">
      <c r="A157" s="241"/>
      <c r="B157" s="243"/>
      <c r="C157" s="241"/>
      <c r="D157" s="241"/>
      <c r="E157" s="241"/>
    </row>
    <row r="158" spans="1:5" customFormat="1" ht="24.95" customHeight="1" x14ac:dyDescent="0.25">
      <c r="A158" s="241"/>
      <c r="B158" s="243"/>
      <c r="C158" s="241"/>
      <c r="D158" s="241"/>
      <c r="E158" s="241"/>
    </row>
    <row r="159" spans="1:5" customFormat="1" ht="24.95" customHeight="1" x14ac:dyDescent="0.25">
      <c r="A159" s="241"/>
      <c r="B159" s="243"/>
      <c r="C159" s="241"/>
      <c r="D159" s="241"/>
      <c r="E159" s="241"/>
    </row>
    <row r="160" spans="1:5" customFormat="1" ht="24.95" customHeight="1" x14ac:dyDescent="0.25">
      <c r="A160" s="241"/>
      <c r="B160" s="243"/>
      <c r="C160" s="241"/>
      <c r="D160" s="241"/>
      <c r="E160" s="241"/>
    </row>
    <row r="161" spans="1:5" customFormat="1" ht="24.95" customHeight="1" x14ac:dyDescent="0.25">
      <c r="A161" s="241"/>
      <c r="B161" s="243"/>
      <c r="C161" s="241"/>
      <c r="D161" s="241"/>
      <c r="E161" s="241"/>
    </row>
    <row r="162" spans="1:5" customFormat="1" ht="24.95" customHeight="1" x14ac:dyDescent="0.25">
      <c r="A162" s="241"/>
      <c r="B162" s="243"/>
      <c r="C162" s="241"/>
      <c r="D162" s="241"/>
      <c r="E162" s="241"/>
    </row>
    <row r="163" spans="1:5" customFormat="1" ht="24.95" customHeight="1" x14ac:dyDescent="0.25">
      <c r="A163" s="241"/>
      <c r="B163" s="243"/>
      <c r="C163" s="241"/>
      <c r="D163" s="241"/>
      <c r="E163" s="241"/>
    </row>
    <row r="164" spans="1:5" customFormat="1" ht="24.95" customHeight="1" x14ac:dyDescent="0.25">
      <c r="A164" s="241"/>
      <c r="B164" s="243"/>
      <c r="C164" s="241"/>
      <c r="D164" s="241"/>
      <c r="E164" s="241"/>
    </row>
    <row r="165" spans="1:5" customFormat="1" ht="24.95" customHeight="1" x14ac:dyDescent="0.25">
      <c r="A165" s="241"/>
      <c r="B165" s="243"/>
      <c r="C165" s="241"/>
      <c r="D165" s="241"/>
      <c r="E165" s="241"/>
    </row>
    <row r="166" spans="1:5" customFormat="1" ht="24.95" customHeight="1" x14ac:dyDescent="0.25">
      <c r="A166" s="241"/>
      <c r="B166" s="243"/>
      <c r="C166" s="241"/>
      <c r="D166" s="241"/>
      <c r="E166" s="241"/>
    </row>
    <row r="167" spans="1:5" customFormat="1" ht="24.95" customHeight="1" x14ac:dyDescent="0.25">
      <c r="A167" s="241"/>
      <c r="B167" s="243"/>
      <c r="C167" s="241"/>
      <c r="D167" s="241"/>
      <c r="E167" s="241"/>
    </row>
    <row r="168" spans="1:5" customFormat="1" ht="24.95" customHeight="1" x14ac:dyDescent="0.25">
      <c r="A168" s="241"/>
      <c r="B168" s="243"/>
      <c r="C168" s="241"/>
      <c r="D168" s="241"/>
      <c r="E168" s="241"/>
    </row>
    <row r="169" spans="1:5" customFormat="1" ht="24.95" customHeight="1" x14ac:dyDescent="0.25">
      <c r="A169" s="241"/>
      <c r="B169" s="243"/>
      <c r="C169" s="241"/>
      <c r="D169" s="241"/>
      <c r="E169" s="241"/>
    </row>
    <row r="170" spans="1:5" customFormat="1" ht="24.95" customHeight="1" x14ac:dyDescent="0.25">
      <c r="A170" s="241"/>
      <c r="B170" s="243"/>
      <c r="C170" s="241"/>
      <c r="D170" s="241"/>
      <c r="E170" s="241"/>
    </row>
    <row r="171" spans="1:5" customFormat="1" ht="24.95" customHeight="1" x14ac:dyDescent="0.25">
      <c r="A171" s="241"/>
      <c r="B171" s="243"/>
      <c r="C171" s="241"/>
      <c r="D171" s="241"/>
      <c r="E171" s="241"/>
    </row>
    <row r="172" spans="1:5" customFormat="1" ht="24.95" customHeight="1" x14ac:dyDescent="0.25">
      <c r="A172" s="241"/>
      <c r="B172" s="243"/>
      <c r="C172" s="241"/>
      <c r="D172" s="241"/>
      <c r="E172" s="241"/>
    </row>
    <row r="173" spans="1:5" customFormat="1" ht="24.95" customHeight="1" x14ac:dyDescent="0.25">
      <c r="A173" s="241"/>
      <c r="B173" s="243"/>
      <c r="C173" s="241"/>
      <c r="D173" s="241"/>
      <c r="E173" s="241"/>
    </row>
    <row r="174" spans="1:5" customFormat="1" ht="24.95" customHeight="1" x14ac:dyDescent="0.25">
      <c r="A174" s="241"/>
      <c r="B174" s="243"/>
      <c r="C174" s="241"/>
      <c r="D174" s="241"/>
      <c r="E174" s="241"/>
    </row>
    <row r="175" spans="1:5" customFormat="1" ht="24.95" customHeight="1" x14ac:dyDescent="0.25">
      <c r="A175" s="241"/>
      <c r="B175" s="243"/>
      <c r="C175" s="241"/>
      <c r="D175" s="241"/>
      <c r="E175" s="241"/>
    </row>
    <row r="176" spans="1:5" customFormat="1" ht="24.95" customHeight="1" x14ac:dyDescent="0.25">
      <c r="A176" s="241"/>
      <c r="B176" s="243"/>
      <c r="C176" s="241"/>
      <c r="D176" s="241"/>
      <c r="E176" s="241"/>
    </row>
    <row r="177" spans="1:5" customFormat="1" ht="24.95" customHeight="1" x14ac:dyDescent="0.25">
      <c r="A177" s="241"/>
      <c r="B177" s="243"/>
      <c r="C177" s="241"/>
      <c r="D177" s="241"/>
      <c r="E177" s="241"/>
    </row>
    <row r="178" spans="1:5" customFormat="1" ht="24.95" customHeight="1" x14ac:dyDescent="0.25">
      <c r="A178" s="241"/>
      <c r="B178" s="243"/>
      <c r="C178" s="241"/>
      <c r="D178" s="241"/>
      <c r="E178" s="241"/>
    </row>
    <row r="179" spans="1:5" customFormat="1" ht="24.95" customHeight="1" x14ac:dyDescent="0.25">
      <c r="A179" s="241"/>
      <c r="B179" s="243"/>
      <c r="C179" s="241"/>
      <c r="D179" s="241"/>
      <c r="E179" s="241"/>
    </row>
    <row r="180" spans="1:5" customFormat="1" ht="24.95" customHeight="1" x14ac:dyDescent="0.25">
      <c r="A180" s="241"/>
      <c r="B180" s="243"/>
      <c r="C180" s="241"/>
      <c r="D180" s="241"/>
      <c r="E180" s="241"/>
    </row>
    <row r="181" spans="1:5" customFormat="1" ht="24.95" customHeight="1" x14ac:dyDescent="0.25">
      <c r="A181" s="241"/>
      <c r="B181" s="243"/>
      <c r="C181" s="241"/>
      <c r="D181" s="241"/>
      <c r="E181" s="241"/>
    </row>
    <row r="182" spans="1:5" customFormat="1" ht="24.95" customHeight="1" x14ac:dyDescent="0.25">
      <c r="A182" s="241"/>
      <c r="B182" s="243"/>
      <c r="C182" s="241"/>
      <c r="D182" s="241"/>
      <c r="E182" s="241"/>
    </row>
    <row r="183" spans="1:5" customFormat="1" ht="24.95" customHeight="1" x14ac:dyDescent="0.25">
      <c r="A183" s="241"/>
      <c r="B183" s="243"/>
      <c r="C183" s="241"/>
      <c r="D183" s="241"/>
      <c r="E183" s="241"/>
    </row>
    <row r="184" spans="1:5" customFormat="1" ht="24.95" customHeight="1" x14ac:dyDescent="0.25">
      <c r="A184" s="241"/>
      <c r="B184" s="243"/>
      <c r="C184" s="241"/>
      <c r="D184" s="241"/>
      <c r="E184" s="241"/>
    </row>
    <row r="185" spans="1:5" customFormat="1" ht="24.95" customHeight="1" x14ac:dyDescent="0.25">
      <c r="A185" s="241"/>
      <c r="B185" s="243"/>
      <c r="C185" s="241"/>
      <c r="D185" s="241"/>
      <c r="E185" s="241"/>
    </row>
    <row r="186" spans="1:5" customFormat="1" ht="24.95" customHeight="1" x14ac:dyDescent="0.25">
      <c r="A186" s="241"/>
      <c r="B186" s="243"/>
      <c r="C186" s="241"/>
      <c r="D186" s="241"/>
      <c r="E186" s="241"/>
    </row>
    <row r="187" spans="1:5" customFormat="1" ht="24.95" customHeight="1" x14ac:dyDescent="0.25">
      <c r="A187" s="241"/>
      <c r="B187" s="243"/>
      <c r="C187" s="241"/>
      <c r="D187" s="241"/>
      <c r="E187" s="241"/>
    </row>
    <row r="188" spans="1:5" customFormat="1" ht="24.95" customHeight="1" x14ac:dyDescent="0.25">
      <c r="A188" s="241"/>
      <c r="B188" s="243"/>
      <c r="C188" s="241"/>
      <c r="D188" s="241"/>
      <c r="E188" s="241"/>
    </row>
    <row r="189" spans="1:5" customFormat="1" ht="24.95" customHeight="1" x14ac:dyDescent="0.25">
      <c r="A189" s="241"/>
      <c r="B189" s="243"/>
      <c r="C189" s="241"/>
      <c r="D189" s="241"/>
      <c r="E189" s="241"/>
    </row>
    <row r="190" spans="1:5" customFormat="1" ht="24.95" customHeight="1" x14ac:dyDescent="0.25">
      <c r="A190" s="241"/>
      <c r="B190" s="243"/>
      <c r="C190" s="241"/>
      <c r="D190" s="241"/>
      <c r="E190" s="241"/>
    </row>
    <row r="191" spans="1:5" customFormat="1" ht="24.95" customHeight="1" x14ac:dyDescent="0.25">
      <c r="A191" s="241"/>
      <c r="B191" s="243"/>
      <c r="C191" s="241"/>
      <c r="D191" s="241"/>
      <c r="E191" s="241"/>
    </row>
    <row r="192" spans="1:5" customFormat="1" ht="24.95" customHeight="1" x14ac:dyDescent="0.25">
      <c r="A192" s="241"/>
      <c r="B192" s="243"/>
      <c r="C192" s="241"/>
      <c r="D192" s="241"/>
      <c r="E192" s="241"/>
    </row>
    <row r="193" spans="1:5" customFormat="1" ht="24.95" customHeight="1" x14ac:dyDescent="0.25">
      <c r="A193" s="241"/>
      <c r="B193" s="243"/>
      <c r="C193" s="241"/>
      <c r="D193" s="241"/>
      <c r="E193" s="241"/>
    </row>
    <row r="194" spans="1:5" customFormat="1" ht="24.95" customHeight="1" x14ac:dyDescent="0.25">
      <c r="A194" s="241"/>
      <c r="B194" s="243"/>
      <c r="C194" s="241"/>
      <c r="D194" s="241"/>
      <c r="E194" s="241"/>
    </row>
    <row r="195" spans="1:5" customFormat="1" ht="24.95" customHeight="1" x14ac:dyDescent="0.25">
      <c r="A195" s="241"/>
      <c r="B195" s="243"/>
      <c r="C195" s="241"/>
      <c r="D195" s="241"/>
      <c r="E195" s="241"/>
    </row>
    <row r="196" spans="1:5" customFormat="1" ht="24.95" customHeight="1" x14ac:dyDescent="0.25">
      <c r="A196" s="241"/>
      <c r="B196" s="243"/>
      <c r="C196" s="241"/>
      <c r="D196" s="241"/>
      <c r="E196" s="241"/>
    </row>
    <row r="197" spans="1:5" customFormat="1" ht="24.95" customHeight="1" x14ac:dyDescent="0.25">
      <c r="A197" s="241"/>
      <c r="B197" s="243"/>
      <c r="C197" s="241"/>
      <c r="D197" s="241"/>
      <c r="E197" s="241"/>
    </row>
    <row r="198" spans="1:5" customFormat="1" ht="24.95" customHeight="1" x14ac:dyDescent="0.25">
      <c r="A198" s="241"/>
      <c r="B198" s="243"/>
      <c r="C198" s="241"/>
      <c r="D198" s="241"/>
      <c r="E198" s="241"/>
    </row>
    <row r="199" spans="1:5" customFormat="1" ht="24.95" customHeight="1" x14ac:dyDescent="0.25">
      <c r="A199" s="241"/>
      <c r="B199" s="243"/>
      <c r="C199" s="241"/>
      <c r="D199" s="241"/>
      <c r="E199" s="241"/>
    </row>
    <row r="200" spans="1:5" customFormat="1" ht="24.95" customHeight="1" x14ac:dyDescent="0.25">
      <c r="A200" s="241"/>
      <c r="B200" s="243"/>
      <c r="C200" s="241"/>
      <c r="D200" s="241"/>
      <c r="E200" s="241"/>
    </row>
    <row r="201" spans="1:5" customFormat="1" ht="24.95" customHeight="1" x14ac:dyDescent="0.25">
      <c r="A201" s="241"/>
      <c r="B201" s="243"/>
      <c r="C201" s="241"/>
      <c r="D201" s="241"/>
      <c r="E201" s="241"/>
    </row>
    <row r="202" spans="1:5" customFormat="1" ht="24.95" customHeight="1" x14ac:dyDescent="0.25">
      <c r="A202" s="241"/>
      <c r="B202" s="243"/>
      <c r="C202" s="241"/>
      <c r="D202" s="241"/>
      <c r="E202" s="241"/>
    </row>
    <row r="203" spans="1:5" customFormat="1" ht="24.95" customHeight="1" x14ac:dyDescent="0.25">
      <c r="A203" s="241"/>
      <c r="B203" s="243"/>
      <c r="C203" s="241"/>
      <c r="D203" s="241"/>
      <c r="E203" s="241"/>
    </row>
    <row r="204" spans="1:5" customFormat="1" ht="24.95" customHeight="1" x14ac:dyDescent="0.25">
      <c r="A204" s="241"/>
      <c r="B204" s="243"/>
      <c r="C204" s="241"/>
      <c r="D204" s="241"/>
      <c r="E204" s="241"/>
    </row>
    <row r="205" spans="1:5" customFormat="1" ht="24.95" customHeight="1" x14ac:dyDescent="0.25">
      <c r="A205" s="241"/>
      <c r="B205" s="243"/>
      <c r="C205" s="241"/>
      <c r="D205" s="241"/>
      <c r="E205" s="241"/>
    </row>
    <row r="206" spans="1:5" customFormat="1" ht="24.95" customHeight="1" x14ac:dyDescent="0.25">
      <c r="A206" s="241"/>
      <c r="B206" s="243"/>
      <c r="C206" s="241"/>
      <c r="D206" s="241"/>
      <c r="E206" s="241"/>
    </row>
    <row r="207" spans="1:5" customFormat="1" ht="24.95" customHeight="1" x14ac:dyDescent="0.25">
      <c r="A207" s="241"/>
      <c r="B207" s="243"/>
      <c r="C207" s="241"/>
      <c r="D207" s="241"/>
      <c r="E207" s="241"/>
    </row>
    <row r="208" spans="1:5" customFormat="1" ht="24.95" customHeight="1" x14ac:dyDescent="0.25">
      <c r="A208" s="241"/>
      <c r="B208" s="243"/>
      <c r="C208" s="241"/>
      <c r="D208" s="241"/>
      <c r="E208" s="241"/>
    </row>
    <row r="209" spans="1:5" customFormat="1" ht="24.95" customHeight="1" x14ac:dyDescent="0.25">
      <c r="A209" s="241"/>
      <c r="B209" s="243"/>
      <c r="C209" s="241"/>
      <c r="D209" s="241"/>
      <c r="E209" s="241"/>
    </row>
    <row r="210" spans="1:5" customFormat="1" ht="24.95" customHeight="1" x14ac:dyDescent="0.25">
      <c r="A210" s="241"/>
      <c r="B210" s="243"/>
      <c r="C210" s="241"/>
      <c r="D210" s="241"/>
      <c r="E210" s="241"/>
    </row>
    <row r="211" spans="1:5" customFormat="1" ht="24.95" customHeight="1" x14ac:dyDescent="0.25">
      <c r="A211" s="241"/>
      <c r="B211" s="243"/>
      <c r="C211" s="241"/>
      <c r="D211" s="241"/>
      <c r="E211" s="241"/>
    </row>
    <row r="212" spans="1:5" customFormat="1" ht="24.95" customHeight="1" x14ac:dyDescent="0.25">
      <c r="A212" s="241"/>
      <c r="B212" s="243"/>
      <c r="C212" s="241"/>
      <c r="D212" s="241"/>
      <c r="E212" s="241"/>
    </row>
    <row r="213" spans="1:5" customFormat="1" ht="24.95" customHeight="1" x14ac:dyDescent="0.25">
      <c r="A213" s="241"/>
      <c r="B213" s="243"/>
      <c r="C213" s="241"/>
      <c r="D213" s="241"/>
      <c r="E213" s="241"/>
    </row>
    <row r="214" spans="1:5" customFormat="1" ht="24.95" customHeight="1" x14ac:dyDescent="0.25">
      <c r="A214" s="241"/>
      <c r="B214" s="243"/>
      <c r="C214" s="241"/>
      <c r="D214" s="241"/>
      <c r="E214" s="241"/>
    </row>
    <row r="215" spans="1:5" customFormat="1" ht="24.95" customHeight="1" x14ac:dyDescent="0.25">
      <c r="A215" s="241"/>
      <c r="B215" s="243"/>
      <c r="C215" s="241"/>
      <c r="D215" s="241"/>
      <c r="E215" s="241"/>
    </row>
    <row r="216" spans="1:5" customFormat="1" ht="24.95" customHeight="1" x14ac:dyDescent="0.25">
      <c r="A216" s="241"/>
      <c r="B216" s="243"/>
      <c r="C216" s="241"/>
      <c r="D216" s="241"/>
      <c r="E216" s="241"/>
    </row>
    <row r="217" spans="1:5" customFormat="1" ht="24.95" customHeight="1" x14ac:dyDescent="0.25">
      <c r="A217" s="241"/>
      <c r="B217" s="243"/>
      <c r="C217" s="241"/>
      <c r="D217" s="241"/>
      <c r="E217" s="241"/>
    </row>
    <row r="218" spans="1:5" customFormat="1" ht="24.95" customHeight="1" x14ac:dyDescent="0.25">
      <c r="A218" s="241"/>
      <c r="B218" s="243"/>
      <c r="C218" s="241"/>
      <c r="D218" s="241"/>
      <c r="E218" s="241"/>
    </row>
    <row r="219" spans="1:5" customFormat="1" ht="24.95" customHeight="1" x14ac:dyDescent="0.25">
      <c r="A219" s="241"/>
      <c r="B219" s="243"/>
      <c r="C219" s="241"/>
      <c r="D219" s="241"/>
      <c r="E219" s="241"/>
    </row>
    <row r="220" spans="1:5" customFormat="1" ht="24.95" customHeight="1" x14ac:dyDescent="0.25">
      <c r="A220" s="241"/>
      <c r="B220" s="243"/>
      <c r="C220" s="241"/>
      <c r="D220" s="241"/>
      <c r="E220" s="241"/>
    </row>
    <row r="221" spans="1:5" customFormat="1" ht="24.95" customHeight="1" x14ac:dyDescent="0.25">
      <c r="A221" s="241"/>
      <c r="B221" s="243"/>
      <c r="C221" s="241"/>
      <c r="D221" s="241"/>
      <c r="E221" s="241"/>
    </row>
    <row r="222" spans="1:5" customFormat="1" ht="24.95" customHeight="1" x14ac:dyDescent="0.25">
      <c r="A222" s="241"/>
      <c r="B222" s="243"/>
      <c r="C222" s="241"/>
      <c r="D222" s="241"/>
      <c r="E222" s="241"/>
    </row>
    <row r="223" spans="1:5" customFormat="1" ht="24.95" customHeight="1" x14ac:dyDescent="0.25">
      <c r="A223" s="241"/>
      <c r="B223" s="243"/>
      <c r="C223" s="241"/>
      <c r="D223" s="241"/>
      <c r="E223" s="241"/>
    </row>
    <row r="224" spans="1:5" customFormat="1" ht="24.95" customHeight="1" x14ac:dyDescent="0.25">
      <c r="A224" s="241"/>
      <c r="B224" s="243"/>
      <c r="C224" s="241"/>
      <c r="D224" s="241"/>
      <c r="E224" s="241"/>
    </row>
    <row r="225" spans="1:5" customFormat="1" ht="24.95" customHeight="1" x14ac:dyDescent="0.25">
      <c r="A225" s="241"/>
      <c r="B225" s="243"/>
      <c r="C225" s="241"/>
      <c r="D225" s="241"/>
      <c r="E225" s="241"/>
    </row>
    <row r="226" spans="1:5" customFormat="1" ht="24.95" customHeight="1" x14ac:dyDescent="0.25">
      <c r="A226" s="241"/>
      <c r="B226" s="243"/>
      <c r="C226" s="241"/>
      <c r="D226" s="241"/>
      <c r="E226" s="241"/>
    </row>
    <row r="227" spans="1:5" customFormat="1" ht="24.95" customHeight="1" x14ac:dyDescent="0.25">
      <c r="A227" s="241"/>
      <c r="B227" s="243"/>
      <c r="C227" s="241"/>
      <c r="D227" s="241"/>
      <c r="E227" s="241"/>
    </row>
    <row r="228" spans="1:5" customFormat="1" ht="24.95" customHeight="1" x14ac:dyDescent="0.25">
      <c r="A228" s="241"/>
      <c r="B228" s="243"/>
      <c r="C228" s="241"/>
      <c r="D228" s="241"/>
      <c r="E228" s="241"/>
    </row>
    <row r="229" spans="1:5" customFormat="1" ht="24.95" customHeight="1" x14ac:dyDescent="0.25">
      <c r="A229" s="241"/>
      <c r="B229" s="243"/>
      <c r="C229" s="241"/>
      <c r="D229" s="241"/>
      <c r="E229" s="241"/>
    </row>
    <row r="230" spans="1:5" customFormat="1" ht="24.95" customHeight="1" x14ac:dyDescent="0.25">
      <c r="A230" s="241"/>
      <c r="B230" s="243"/>
      <c r="C230" s="241"/>
      <c r="D230" s="241"/>
      <c r="E230" s="241"/>
    </row>
    <row r="231" spans="1:5" customFormat="1" ht="24.95" customHeight="1" x14ac:dyDescent="0.25">
      <c r="A231" s="241"/>
      <c r="B231" s="243"/>
      <c r="C231" s="241"/>
      <c r="D231" s="241"/>
      <c r="E231" s="241"/>
    </row>
    <row r="232" spans="1:5" customFormat="1" ht="24.95" customHeight="1" x14ac:dyDescent="0.25">
      <c r="A232" s="241"/>
      <c r="B232" s="243"/>
      <c r="C232" s="241"/>
      <c r="D232" s="241"/>
      <c r="E232" s="241"/>
    </row>
    <row r="233" spans="1:5" customFormat="1" ht="24.95" customHeight="1" x14ac:dyDescent="0.25">
      <c r="A233" s="241"/>
      <c r="B233" s="243"/>
      <c r="C233" s="241"/>
      <c r="D233" s="241"/>
      <c r="E233" s="241"/>
    </row>
    <row r="234" spans="1:5" customFormat="1" ht="24.95" customHeight="1" x14ac:dyDescent="0.25">
      <c r="A234" s="241"/>
      <c r="B234" s="243"/>
      <c r="C234" s="241"/>
      <c r="D234" s="241"/>
      <c r="E234" s="241"/>
    </row>
    <row r="235" spans="1:5" customFormat="1" ht="24.95" customHeight="1" x14ac:dyDescent="0.25">
      <c r="A235" s="241"/>
      <c r="B235" s="243"/>
      <c r="C235" s="241"/>
      <c r="D235" s="241"/>
      <c r="E235" s="241"/>
    </row>
    <row r="236" spans="1:5" customFormat="1" ht="24.95" customHeight="1" x14ac:dyDescent="0.25">
      <c r="A236" s="241"/>
      <c r="B236" s="243"/>
      <c r="C236" s="241"/>
      <c r="D236" s="241"/>
      <c r="E236" s="241"/>
    </row>
    <row r="237" spans="1:5" customFormat="1" ht="24.95" customHeight="1" x14ac:dyDescent="0.25">
      <c r="A237" s="241"/>
      <c r="B237" s="243"/>
      <c r="C237" s="241"/>
      <c r="D237" s="241"/>
      <c r="E237" s="241"/>
    </row>
    <row r="238" spans="1:5" customFormat="1" ht="24.95" customHeight="1" x14ac:dyDescent="0.25">
      <c r="A238" s="241"/>
      <c r="B238" s="243"/>
      <c r="C238" s="241"/>
      <c r="D238" s="241"/>
      <c r="E238" s="241"/>
    </row>
    <row r="239" spans="1:5" customFormat="1" ht="24.95" customHeight="1" x14ac:dyDescent="0.25">
      <c r="A239" s="241"/>
      <c r="B239" s="243"/>
      <c r="C239" s="241"/>
      <c r="D239" s="241"/>
      <c r="E239" s="241"/>
    </row>
    <row r="240" spans="1:5" customFormat="1" ht="24.95" customHeight="1" x14ac:dyDescent="0.25">
      <c r="A240" s="241"/>
      <c r="B240" s="243"/>
      <c r="C240" s="241"/>
      <c r="D240" s="241"/>
      <c r="E240" s="241"/>
    </row>
    <row r="241" spans="1:5" customFormat="1" ht="24.95" customHeight="1" x14ac:dyDescent="0.25">
      <c r="A241" s="241"/>
      <c r="B241" s="243"/>
      <c r="C241" s="241"/>
      <c r="D241" s="241"/>
      <c r="E241" s="241"/>
    </row>
    <row r="242" spans="1:5" customFormat="1" ht="24.95" customHeight="1" x14ac:dyDescent="0.25">
      <c r="A242" s="241"/>
      <c r="B242" s="243"/>
      <c r="C242" s="241"/>
      <c r="D242" s="241"/>
      <c r="E242" s="241"/>
    </row>
    <row r="243" spans="1:5" customFormat="1" ht="24.95" customHeight="1" x14ac:dyDescent="0.25">
      <c r="A243" s="241"/>
      <c r="B243" s="243"/>
      <c r="C243" s="241"/>
      <c r="D243" s="241"/>
      <c r="E243" s="241"/>
    </row>
    <row r="244" spans="1:5" customFormat="1" ht="24.95" customHeight="1" x14ac:dyDescent="0.25">
      <c r="A244" s="241"/>
      <c r="B244" s="243"/>
      <c r="C244" s="241"/>
      <c r="D244" s="241"/>
      <c r="E244" s="241"/>
    </row>
    <row r="245" spans="1:5" customFormat="1" ht="24.95" customHeight="1" x14ac:dyDescent="0.25">
      <c r="A245" s="241"/>
      <c r="B245" s="243"/>
      <c r="C245" s="241"/>
      <c r="D245" s="241"/>
      <c r="E245" s="241"/>
    </row>
    <row r="246" spans="1:5" customFormat="1" ht="24.95" customHeight="1" x14ac:dyDescent="0.25">
      <c r="A246" s="241"/>
      <c r="B246" s="243"/>
      <c r="C246" s="241"/>
      <c r="D246" s="241"/>
      <c r="E246" s="241"/>
    </row>
    <row r="247" spans="1:5" customFormat="1" ht="24.95" customHeight="1" x14ac:dyDescent="0.25">
      <c r="A247" s="241"/>
      <c r="B247" s="243"/>
      <c r="C247" s="241"/>
      <c r="D247" s="241"/>
      <c r="E247" s="241"/>
    </row>
    <row r="248" spans="1:5" customFormat="1" ht="24.95" customHeight="1" x14ac:dyDescent="0.25">
      <c r="A248" s="241"/>
      <c r="B248" s="243"/>
      <c r="C248" s="241"/>
      <c r="D248" s="241"/>
      <c r="E248" s="241"/>
    </row>
    <row r="249" spans="1:5" customFormat="1" ht="24.95" customHeight="1" x14ac:dyDescent="0.25">
      <c r="A249" s="241"/>
      <c r="B249" s="243"/>
      <c r="C249" s="241"/>
      <c r="D249" s="241"/>
      <c r="E249" s="241"/>
    </row>
    <row r="250" spans="1:5" customFormat="1" ht="24.95" customHeight="1" x14ac:dyDescent="0.25">
      <c r="A250" s="241"/>
      <c r="B250" s="243"/>
      <c r="C250" s="241"/>
      <c r="D250" s="241"/>
      <c r="E250" s="241"/>
    </row>
    <row r="251" spans="1:5" customFormat="1" ht="24.95" customHeight="1" x14ac:dyDescent="0.25">
      <c r="A251" s="241"/>
      <c r="B251" s="243"/>
      <c r="C251" s="241"/>
      <c r="D251" s="241"/>
      <c r="E251" s="241"/>
    </row>
    <row r="252" spans="1:5" customFormat="1" ht="24.95" customHeight="1" x14ac:dyDescent="0.25">
      <c r="A252" s="241"/>
      <c r="B252" s="243"/>
      <c r="C252" s="241"/>
      <c r="D252" s="241"/>
      <c r="E252" s="241"/>
    </row>
    <row r="253" spans="1:5" customFormat="1" ht="24.95" customHeight="1" x14ac:dyDescent="0.25">
      <c r="A253" s="241"/>
      <c r="B253" s="243"/>
      <c r="C253" s="241"/>
      <c r="D253" s="241"/>
      <c r="E253" s="241"/>
    </row>
    <row r="254" spans="1:5" customFormat="1" ht="24.95" customHeight="1" x14ac:dyDescent="0.25">
      <c r="A254" s="241"/>
      <c r="B254" s="243"/>
      <c r="C254" s="241"/>
      <c r="D254" s="241"/>
      <c r="E254" s="241"/>
    </row>
    <row r="255" spans="1:5" customFormat="1" ht="24.95" customHeight="1" x14ac:dyDescent="0.25">
      <c r="A255" s="241"/>
      <c r="B255" s="243"/>
      <c r="C255" s="241"/>
      <c r="D255" s="241"/>
      <c r="E255" s="241"/>
    </row>
    <row r="256" spans="1:5" customFormat="1" ht="24.95" customHeight="1" x14ac:dyDescent="0.25">
      <c r="A256" s="241"/>
      <c r="B256" s="243"/>
      <c r="C256" s="241"/>
      <c r="D256" s="241"/>
      <c r="E256" s="241"/>
    </row>
    <row r="257" spans="1:5" customFormat="1" ht="24.95" customHeight="1" x14ac:dyDescent="0.25">
      <c r="A257" s="241"/>
      <c r="B257" s="243"/>
      <c r="C257" s="241"/>
      <c r="D257" s="241"/>
      <c r="E257" s="241"/>
    </row>
    <row r="258" spans="1:5" customFormat="1" ht="24.95" customHeight="1" x14ac:dyDescent="0.25">
      <c r="A258" s="241"/>
      <c r="B258" s="243"/>
      <c r="C258" s="241"/>
      <c r="D258" s="241"/>
      <c r="E258" s="241"/>
    </row>
    <row r="259" spans="1:5" customFormat="1" ht="24.95" customHeight="1" x14ac:dyDescent="0.25">
      <c r="A259" s="241"/>
      <c r="B259" s="243"/>
      <c r="C259" s="241"/>
      <c r="D259" s="241"/>
      <c r="E259" s="241"/>
    </row>
    <row r="260" spans="1:5" customFormat="1" ht="24.95" customHeight="1" x14ac:dyDescent="0.25">
      <c r="A260" s="241"/>
      <c r="B260" s="243"/>
      <c r="C260" s="241"/>
      <c r="D260" s="241"/>
      <c r="E260" s="241"/>
    </row>
    <row r="261" spans="1:5" customFormat="1" ht="24.95" customHeight="1" x14ac:dyDescent="0.25">
      <c r="A261" s="241"/>
      <c r="B261" s="243"/>
      <c r="C261" s="241"/>
      <c r="D261" s="241"/>
      <c r="E261" s="241"/>
    </row>
    <row r="262" spans="1:5" customFormat="1" ht="24.95" customHeight="1" x14ac:dyDescent="0.25">
      <c r="A262" s="241"/>
      <c r="B262" s="243"/>
      <c r="C262" s="241"/>
      <c r="D262" s="241"/>
      <c r="E262" s="241"/>
    </row>
    <row r="263" spans="1:5" customFormat="1" ht="24.95" customHeight="1" x14ac:dyDescent="0.25">
      <c r="A263" s="241"/>
      <c r="B263" s="243"/>
      <c r="C263" s="241"/>
      <c r="D263" s="241"/>
      <c r="E263" s="241"/>
    </row>
    <row r="264" spans="1:5" customFormat="1" ht="24.95" customHeight="1" x14ac:dyDescent="0.25">
      <c r="A264" s="241"/>
      <c r="B264" s="243"/>
      <c r="C264" s="241"/>
      <c r="D264" s="241"/>
      <c r="E264" s="241"/>
    </row>
    <row r="265" spans="1:5" customFormat="1" ht="24.95" customHeight="1" x14ac:dyDescent="0.25">
      <c r="A265" s="241"/>
      <c r="B265" s="243"/>
      <c r="C265" s="241"/>
      <c r="D265" s="241"/>
      <c r="E265" s="241"/>
    </row>
    <row r="266" spans="1:5" customFormat="1" ht="24.95" customHeight="1" x14ac:dyDescent="0.25">
      <c r="A266" s="241"/>
      <c r="B266" s="243"/>
      <c r="C266" s="241"/>
      <c r="D266" s="241"/>
      <c r="E266" s="241"/>
    </row>
    <row r="267" spans="1:5" customFormat="1" ht="24.95" customHeight="1" x14ac:dyDescent="0.25">
      <c r="A267" s="241"/>
      <c r="B267" s="243"/>
      <c r="C267" s="241"/>
      <c r="D267" s="241"/>
      <c r="E267" s="241"/>
    </row>
    <row r="268" spans="1:5" customFormat="1" ht="24.95" customHeight="1" x14ac:dyDescent="0.25">
      <c r="A268" s="241"/>
      <c r="B268" s="243"/>
      <c r="C268" s="241"/>
      <c r="D268" s="241"/>
      <c r="E268" s="241"/>
    </row>
    <row r="269" spans="1:5" customFormat="1" ht="24.95" customHeight="1" x14ac:dyDescent="0.25">
      <c r="A269" s="241"/>
      <c r="B269" s="243"/>
      <c r="C269" s="241"/>
      <c r="D269" s="241"/>
      <c r="E269" s="241"/>
    </row>
    <row r="270" spans="1:5" customFormat="1" ht="24.95" customHeight="1" x14ac:dyDescent="0.25">
      <c r="A270" s="241"/>
      <c r="B270" s="243"/>
      <c r="C270" s="241"/>
      <c r="D270" s="241"/>
      <c r="E270" s="241"/>
    </row>
    <row r="271" spans="1:5" customFormat="1" ht="24.95" customHeight="1" x14ac:dyDescent="0.25">
      <c r="A271" s="241"/>
      <c r="B271" s="243"/>
      <c r="C271" s="241"/>
      <c r="D271" s="241"/>
      <c r="E271" s="241"/>
    </row>
    <row r="272" spans="1:5" customFormat="1" ht="24.95" customHeight="1" x14ac:dyDescent="0.25">
      <c r="A272" s="241"/>
      <c r="B272" s="243"/>
      <c r="C272" s="241"/>
      <c r="D272" s="241"/>
      <c r="E272" s="241"/>
    </row>
    <row r="273" spans="1:5" customFormat="1" ht="24.95" customHeight="1" x14ac:dyDescent="0.25">
      <c r="A273" s="241"/>
      <c r="B273" s="243"/>
      <c r="C273" s="241"/>
      <c r="D273" s="241"/>
      <c r="E273" s="241"/>
    </row>
    <row r="274" spans="1:5" customFormat="1" ht="24.95" customHeight="1" x14ac:dyDescent="0.25">
      <c r="A274" s="241"/>
      <c r="B274" s="243"/>
      <c r="C274" s="241"/>
      <c r="D274" s="241"/>
      <c r="E274" s="241"/>
    </row>
    <row r="275" spans="1:5" customFormat="1" ht="24.95" customHeight="1" x14ac:dyDescent="0.25">
      <c r="A275" s="241"/>
      <c r="B275" s="243"/>
      <c r="C275" s="241"/>
      <c r="D275" s="241"/>
      <c r="E275" s="241"/>
    </row>
    <row r="276" spans="1:5" customFormat="1" ht="24.95" customHeight="1" x14ac:dyDescent="0.25">
      <c r="A276" s="241"/>
      <c r="B276" s="243"/>
      <c r="C276" s="241"/>
      <c r="D276" s="241"/>
      <c r="E276" s="241"/>
    </row>
    <row r="277" spans="1:5" customFormat="1" ht="24.95" customHeight="1" x14ac:dyDescent="0.25">
      <c r="A277" s="241"/>
      <c r="B277" s="243"/>
      <c r="C277" s="241"/>
      <c r="D277" s="241"/>
      <c r="E277" s="241"/>
    </row>
    <row r="278" spans="1:5" customFormat="1" ht="24.95" customHeight="1" x14ac:dyDescent="0.25">
      <c r="A278" s="241"/>
      <c r="B278" s="243"/>
      <c r="C278" s="241"/>
      <c r="D278" s="241"/>
      <c r="E278" s="241"/>
    </row>
    <row r="279" spans="1:5" customFormat="1" ht="24.95" customHeight="1" x14ac:dyDescent="0.25">
      <c r="A279" s="241"/>
      <c r="B279" s="243"/>
      <c r="C279" s="241"/>
      <c r="D279" s="241"/>
      <c r="E279" s="241"/>
    </row>
    <row r="280" spans="1:5" customFormat="1" ht="24.95" customHeight="1" x14ac:dyDescent="0.25">
      <c r="A280" s="241"/>
      <c r="B280" s="243"/>
      <c r="C280" s="241"/>
      <c r="D280" s="241"/>
      <c r="E280" s="241"/>
    </row>
    <row r="281" spans="1:5" customFormat="1" ht="24.95" customHeight="1" x14ac:dyDescent="0.25">
      <c r="A281" s="241"/>
      <c r="B281" s="243"/>
      <c r="C281" s="241"/>
      <c r="D281" s="241"/>
      <c r="E281" s="241"/>
    </row>
    <row r="282" spans="1:5" customFormat="1" ht="24.95" customHeight="1" x14ac:dyDescent="0.25">
      <c r="A282" s="241"/>
      <c r="B282" s="243"/>
      <c r="C282" s="241"/>
      <c r="D282" s="241"/>
      <c r="E282" s="241"/>
    </row>
    <row r="283" spans="1:5" customFormat="1" ht="24.95" customHeight="1" x14ac:dyDescent="0.25">
      <c r="A283" s="241"/>
      <c r="B283" s="243"/>
      <c r="C283" s="241"/>
      <c r="D283" s="241"/>
      <c r="E283" s="241"/>
    </row>
    <row r="284" spans="1:5" customFormat="1" ht="24.95" customHeight="1" x14ac:dyDescent="0.25">
      <c r="A284" s="241"/>
      <c r="B284" s="243"/>
      <c r="C284" s="241"/>
      <c r="D284" s="241"/>
      <c r="E284" s="241"/>
    </row>
    <row r="285" spans="1:5" customFormat="1" ht="24.95" customHeight="1" x14ac:dyDescent="0.25">
      <c r="A285" s="241"/>
      <c r="B285" s="243"/>
      <c r="C285" s="241"/>
      <c r="D285" s="241"/>
      <c r="E285" s="241"/>
    </row>
    <row r="286" spans="1:5" customFormat="1" ht="24.95" customHeight="1" x14ac:dyDescent="0.25">
      <c r="A286" s="241"/>
      <c r="B286" s="243"/>
      <c r="C286" s="241"/>
      <c r="D286" s="241"/>
      <c r="E286" s="241"/>
    </row>
    <row r="287" spans="1:5" customFormat="1" ht="24.95" customHeight="1" x14ac:dyDescent="0.25">
      <c r="A287" s="241"/>
      <c r="B287" s="243"/>
      <c r="C287" s="241"/>
      <c r="D287" s="241"/>
      <c r="E287" s="241"/>
    </row>
    <row r="288" spans="1:5" customFormat="1" ht="24.95" customHeight="1" x14ac:dyDescent="0.25">
      <c r="A288" s="241"/>
      <c r="B288" s="243"/>
      <c r="C288" s="241"/>
      <c r="D288" s="241"/>
      <c r="E288" s="241"/>
    </row>
    <row r="289" spans="1:5" customFormat="1" ht="24.95" customHeight="1" x14ac:dyDescent="0.25">
      <c r="A289" s="241"/>
      <c r="B289" s="243"/>
      <c r="C289" s="241"/>
      <c r="D289" s="241"/>
      <c r="E289" s="241"/>
    </row>
    <row r="290" spans="1:5" customFormat="1" ht="24.95" customHeight="1" x14ac:dyDescent="0.25">
      <c r="A290" s="241"/>
      <c r="B290" s="243"/>
      <c r="C290" s="241"/>
      <c r="D290" s="241"/>
      <c r="E290" s="241"/>
    </row>
    <row r="291" spans="1:5" customFormat="1" ht="24.95" customHeight="1" x14ac:dyDescent="0.25">
      <c r="A291" s="241"/>
      <c r="B291" s="243"/>
      <c r="C291" s="241"/>
      <c r="D291" s="241"/>
      <c r="E291" s="241"/>
    </row>
    <row r="292" spans="1:5" customFormat="1" ht="24.95" customHeight="1" x14ac:dyDescent="0.25">
      <c r="A292" s="241"/>
      <c r="B292" s="243"/>
      <c r="C292" s="241"/>
      <c r="D292" s="241"/>
      <c r="E292" s="241"/>
    </row>
    <row r="293" spans="1:5" customFormat="1" ht="24.95" customHeight="1" x14ac:dyDescent="0.25">
      <c r="A293" s="241"/>
      <c r="B293" s="243"/>
      <c r="C293" s="241"/>
      <c r="D293" s="241"/>
      <c r="E293" s="241"/>
    </row>
    <row r="294" spans="1:5" customFormat="1" ht="24.95" customHeight="1" x14ac:dyDescent="0.25">
      <c r="A294" s="241"/>
      <c r="B294" s="243"/>
      <c r="C294" s="241"/>
      <c r="D294" s="241"/>
      <c r="E294" s="241"/>
    </row>
    <row r="295" spans="1:5" customFormat="1" ht="24.95" customHeight="1" x14ac:dyDescent="0.25">
      <c r="A295" s="241"/>
      <c r="B295" s="243"/>
      <c r="C295" s="241"/>
      <c r="D295" s="241"/>
      <c r="E295" s="241"/>
    </row>
    <row r="296" spans="1:5" customFormat="1" ht="24.95" customHeight="1" x14ac:dyDescent="0.25">
      <c r="A296" s="241"/>
      <c r="B296" s="243"/>
      <c r="C296" s="241"/>
      <c r="D296" s="241"/>
      <c r="E296" s="241"/>
    </row>
    <row r="297" spans="1:5" customFormat="1" ht="24.95" customHeight="1" x14ac:dyDescent="0.25">
      <c r="A297" s="241"/>
      <c r="B297" s="243"/>
      <c r="C297" s="241"/>
      <c r="D297" s="241"/>
      <c r="E297" s="241"/>
    </row>
    <row r="298" spans="1:5" customFormat="1" ht="24.95" customHeight="1" x14ac:dyDescent="0.25">
      <c r="A298" s="241"/>
      <c r="B298" s="243"/>
      <c r="C298" s="241"/>
      <c r="D298" s="241"/>
      <c r="E298" s="241"/>
    </row>
    <row r="299" spans="1:5" customFormat="1" ht="24.95" customHeight="1" x14ac:dyDescent="0.25">
      <c r="A299" s="241"/>
      <c r="B299" s="243"/>
      <c r="C299" s="241"/>
      <c r="D299" s="241"/>
      <c r="E299" s="241"/>
    </row>
    <row r="300" spans="1:5" customFormat="1" ht="24.95" customHeight="1" x14ac:dyDescent="0.25">
      <c r="A300" s="241"/>
      <c r="B300" s="243"/>
      <c r="C300" s="241"/>
      <c r="D300" s="241"/>
      <c r="E300" s="241"/>
    </row>
    <row r="301" spans="1:5" customFormat="1" ht="24.95" customHeight="1" x14ac:dyDescent="0.25">
      <c r="A301" s="241"/>
      <c r="B301" s="243"/>
      <c r="C301" s="241"/>
      <c r="D301" s="241"/>
      <c r="E301" s="241"/>
    </row>
    <row r="302" spans="1:5" customFormat="1" ht="24.95" customHeight="1" x14ac:dyDescent="0.25">
      <c r="A302" s="241"/>
      <c r="B302" s="243"/>
      <c r="C302" s="241"/>
      <c r="D302" s="241"/>
      <c r="E302" s="241"/>
    </row>
    <row r="303" spans="1:5" customFormat="1" ht="24.95" customHeight="1" x14ac:dyDescent="0.25">
      <c r="A303" s="241"/>
      <c r="B303" s="243"/>
      <c r="C303" s="241"/>
      <c r="D303" s="241"/>
      <c r="E303" s="241"/>
    </row>
    <row r="304" spans="1:5" customFormat="1" ht="24.95" customHeight="1" x14ac:dyDescent="0.25">
      <c r="A304" s="241"/>
      <c r="B304" s="243"/>
      <c r="C304" s="241"/>
      <c r="D304" s="241"/>
      <c r="E304" s="241"/>
    </row>
    <row r="305" spans="1:5" customFormat="1" ht="24.95" customHeight="1" x14ac:dyDescent="0.25">
      <c r="A305" s="241"/>
      <c r="B305" s="243"/>
      <c r="C305" s="241"/>
      <c r="D305" s="241"/>
      <c r="E305" s="241"/>
    </row>
    <row r="306" spans="1:5" customFormat="1" ht="24.95" customHeight="1" x14ac:dyDescent="0.25">
      <c r="A306" s="241"/>
      <c r="B306" s="243"/>
      <c r="C306" s="241"/>
      <c r="D306" s="241"/>
      <c r="E306" s="241"/>
    </row>
    <row r="307" spans="1:5" customFormat="1" ht="24.95" customHeight="1" x14ac:dyDescent="0.25">
      <c r="A307" s="241"/>
      <c r="B307" s="243"/>
      <c r="C307" s="241"/>
      <c r="D307" s="241"/>
      <c r="E307" s="241"/>
    </row>
    <row r="308" spans="1:5" customFormat="1" ht="24.95" customHeight="1" x14ac:dyDescent="0.25">
      <c r="A308" s="241"/>
      <c r="B308" s="243"/>
      <c r="C308" s="241"/>
      <c r="D308" s="241"/>
      <c r="E308" s="241"/>
    </row>
    <row r="309" spans="1:5" customFormat="1" ht="24.95" customHeight="1" x14ac:dyDescent="0.25">
      <c r="A309" s="241"/>
      <c r="B309" s="243"/>
      <c r="C309" s="241"/>
      <c r="D309" s="241"/>
      <c r="E309" s="241"/>
    </row>
    <row r="310" spans="1:5" customFormat="1" ht="24.95" customHeight="1" x14ac:dyDescent="0.25">
      <c r="A310" s="241"/>
      <c r="B310" s="243"/>
      <c r="C310" s="241"/>
      <c r="D310" s="241"/>
      <c r="E310" s="241"/>
    </row>
    <row r="311" spans="1:5" customFormat="1" ht="24.95" customHeight="1" x14ac:dyDescent="0.25">
      <c r="A311" s="241"/>
      <c r="B311" s="243"/>
      <c r="C311" s="241"/>
      <c r="D311" s="241"/>
      <c r="E311" s="241"/>
    </row>
    <row r="312" spans="1:5" customFormat="1" ht="24.95" customHeight="1" x14ac:dyDescent="0.25">
      <c r="A312" s="241"/>
      <c r="B312" s="243"/>
      <c r="C312" s="241"/>
      <c r="D312" s="241"/>
      <c r="E312" s="241"/>
    </row>
    <row r="313" spans="1:5" customFormat="1" ht="24.95" customHeight="1" x14ac:dyDescent="0.25">
      <c r="A313" s="241"/>
      <c r="B313" s="243"/>
      <c r="C313" s="241"/>
      <c r="D313" s="241"/>
      <c r="E313" s="241"/>
    </row>
    <row r="314" spans="1:5" customFormat="1" ht="24.95" customHeight="1" x14ac:dyDescent="0.25">
      <c r="A314" s="241"/>
      <c r="B314" s="243"/>
      <c r="C314" s="241"/>
      <c r="D314" s="241"/>
      <c r="E314" s="241"/>
    </row>
    <row r="315" spans="1:5" customFormat="1" ht="24.95" customHeight="1" x14ac:dyDescent="0.25">
      <c r="A315" s="241"/>
      <c r="B315" s="243"/>
      <c r="C315" s="241"/>
      <c r="D315" s="241"/>
      <c r="E315" s="241"/>
    </row>
    <row r="316" spans="1:5" customFormat="1" ht="24.95" customHeight="1" x14ac:dyDescent="0.25">
      <c r="A316" s="241"/>
      <c r="B316" s="243"/>
      <c r="C316" s="241"/>
      <c r="D316" s="241"/>
      <c r="E316" s="241"/>
    </row>
    <row r="317" spans="1:5" customFormat="1" ht="24.95" customHeight="1" x14ac:dyDescent="0.25">
      <c r="A317" s="241"/>
      <c r="B317" s="243"/>
      <c r="C317" s="241"/>
      <c r="D317" s="241"/>
      <c r="E317" s="241"/>
    </row>
    <row r="318" spans="1:5" customFormat="1" ht="24.95" customHeight="1" x14ac:dyDescent="0.25">
      <c r="A318" s="241"/>
      <c r="B318" s="243"/>
      <c r="C318" s="241"/>
      <c r="D318" s="241"/>
      <c r="E318" s="241"/>
    </row>
    <row r="319" spans="1:5" customFormat="1" ht="24.95" customHeight="1" x14ac:dyDescent="0.25">
      <c r="A319" s="241"/>
      <c r="B319" s="243"/>
      <c r="C319" s="241"/>
      <c r="D319" s="241"/>
      <c r="E319" s="241"/>
    </row>
    <row r="320" spans="1:5" customFormat="1" ht="24.95" customHeight="1" x14ac:dyDescent="0.25">
      <c r="A320" s="241"/>
      <c r="B320" s="243"/>
      <c r="C320" s="241"/>
      <c r="D320" s="241"/>
      <c r="E320" s="241"/>
    </row>
    <row r="321" spans="1:5" customFormat="1" ht="24.95" customHeight="1" x14ac:dyDescent="0.25">
      <c r="A321" s="241"/>
      <c r="B321" s="243"/>
      <c r="C321" s="241"/>
      <c r="D321" s="241"/>
      <c r="E321" s="241"/>
    </row>
    <row r="322" spans="1:5" customFormat="1" ht="24.95" customHeight="1" x14ac:dyDescent="0.25">
      <c r="A322" s="241"/>
      <c r="B322" s="243"/>
      <c r="C322" s="241"/>
      <c r="D322" s="241"/>
      <c r="E322" s="241"/>
    </row>
    <row r="323" spans="1:5" customFormat="1" ht="24.95" customHeight="1" x14ac:dyDescent="0.25">
      <c r="A323" s="241"/>
      <c r="B323" s="243"/>
      <c r="C323" s="241"/>
      <c r="D323" s="241"/>
      <c r="E323" s="241"/>
    </row>
    <row r="324" spans="1:5" customFormat="1" ht="24.95" customHeight="1" x14ac:dyDescent="0.25">
      <c r="A324" s="241"/>
      <c r="B324" s="243"/>
      <c r="C324" s="241"/>
      <c r="D324" s="241"/>
      <c r="E324" s="241"/>
    </row>
    <row r="325" spans="1:5" customFormat="1" ht="24.95" customHeight="1" x14ac:dyDescent="0.25">
      <c r="A325" s="241"/>
      <c r="B325" s="243"/>
      <c r="C325" s="241"/>
      <c r="D325" s="241"/>
      <c r="E325" s="241"/>
    </row>
    <row r="326" spans="1:5" customFormat="1" ht="24.95" customHeight="1" x14ac:dyDescent="0.25">
      <c r="A326" s="241"/>
      <c r="B326" s="243"/>
      <c r="C326" s="241"/>
      <c r="D326" s="241"/>
      <c r="E326" s="241"/>
    </row>
    <row r="327" spans="1:5" customFormat="1" ht="24.95" customHeight="1" x14ac:dyDescent="0.25">
      <c r="A327" s="241"/>
      <c r="B327" s="243"/>
      <c r="C327" s="241"/>
      <c r="D327" s="241"/>
      <c r="E327" s="241"/>
    </row>
    <row r="328" spans="1:5" customFormat="1" ht="24.95" customHeight="1" x14ac:dyDescent="0.25">
      <c r="A328" s="241"/>
      <c r="B328" s="243"/>
      <c r="C328" s="241"/>
      <c r="D328" s="241"/>
      <c r="E328" s="241"/>
    </row>
    <row r="329" spans="1:5" customFormat="1" ht="24.95" customHeight="1" x14ac:dyDescent="0.25">
      <c r="A329" s="241"/>
      <c r="B329" s="243"/>
      <c r="C329" s="241"/>
      <c r="D329" s="241"/>
      <c r="E329" s="241"/>
    </row>
    <row r="330" spans="1:5" customFormat="1" ht="24.95" customHeight="1" x14ac:dyDescent="0.25">
      <c r="A330" s="241"/>
      <c r="B330" s="243"/>
      <c r="C330" s="241"/>
      <c r="D330" s="241"/>
      <c r="E330" s="241"/>
    </row>
    <row r="331" spans="1:5" customFormat="1" ht="24.95" customHeight="1" x14ac:dyDescent="0.25">
      <c r="A331" s="241"/>
      <c r="B331" s="243"/>
      <c r="C331" s="241"/>
      <c r="D331" s="241"/>
      <c r="E331" s="241"/>
    </row>
    <row r="332" spans="1:5" customFormat="1" ht="24.95" customHeight="1" x14ac:dyDescent="0.25">
      <c r="A332" s="241"/>
      <c r="B332" s="243"/>
      <c r="C332" s="241"/>
      <c r="D332" s="241"/>
      <c r="E332" s="241"/>
    </row>
    <row r="333" spans="1:5" customFormat="1" ht="24.95" customHeight="1" x14ac:dyDescent="0.25">
      <c r="A333" s="241"/>
      <c r="B333" s="243"/>
      <c r="C333" s="241"/>
      <c r="D333" s="241"/>
      <c r="E333" s="241"/>
    </row>
    <row r="334" spans="1:5" customFormat="1" ht="24.95" customHeight="1" x14ac:dyDescent="0.25">
      <c r="A334" s="241"/>
      <c r="B334" s="243"/>
      <c r="C334" s="241"/>
      <c r="D334" s="241"/>
      <c r="E334" s="241"/>
    </row>
    <row r="335" spans="1:5" customFormat="1" ht="24.95" customHeight="1" x14ac:dyDescent="0.25">
      <c r="A335" s="241"/>
      <c r="B335" s="243"/>
      <c r="C335" s="241"/>
      <c r="D335" s="241"/>
      <c r="E335" s="241"/>
    </row>
    <row r="336" spans="1:5" customFormat="1" ht="24.95" customHeight="1" x14ac:dyDescent="0.25">
      <c r="A336" s="241"/>
      <c r="B336" s="243"/>
      <c r="C336" s="241"/>
      <c r="D336" s="241"/>
      <c r="E336" s="241"/>
    </row>
    <row r="337" spans="1:5" customFormat="1" ht="24.95" customHeight="1" x14ac:dyDescent="0.25">
      <c r="A337" s="241"/>
      <c r="B337" s="243"/>
      <c r="C337" s="241"/>
      <c r="D337" s="241"/>
      <c r="E337" s="241"/>
    </row>
    <row r="338" spans="1:5" customFormat="1" ht="24.95" customHeight="1" x14ac:dyDescent="0.25">
      <c r="A338" s="241"/>
      <c r="B338" s="243"/>
      <c r="C338" s="241"/>
      <c r="D338" s="241"/>
      <c r="E338" s="241"/>
    </row>
    <row r="339" spans="1:5" customFormat="1" ht="24.95" customHeight="1" x14ac:dyDescent="0.25">
      <c r="A339" s="241"/>
      <c r="B339" s="243"/>
      <c r="C339" s="241"/>
      <c r="D339" s="241"/>
      <c r="E339" s="241"/>
    </row>
    <row r="340" spans="1:5" customFormat="1" ht="24.95" customHeight="1" x14ac:dyDescent="0.25">
      <c r="A340" s="241"/>
      <c r="B340" s="243"/>
      <c r="C340" s="241"/>
      <c r="D340" s="241"/>
      <c r="E340" s="241"/>
    </row>
    <row r="341" spans="1:5" customFormat="1" ht="24.95" customHeight="1" x14ac:dyDescent="0.25">
      <c r="A341" s="241"/>
      <c r="B341" s="243"/>
      <c r="C341" s="241"/>
      <c r="D341" s="241"/>
      <c r="E341" s="241"/>
    </row>
    <row r="342" spans="1:5" customFormat="1" ht="24.95" customHeight="1" x14ac:dyDescent="0.25">
      <c r="A342" s="241"/>
      <c r="B342" s="243"/>
      <c r="C342" s="241"/>
      <c r="D342" s="241"/>
      <c r="E342" s="241"/>
    </row>
    <row r="343" spans="1:5" customFormat="1" ht="24.95" customHeight="1" x14ac:dyDescent="0.25">
      <c r="A343" s="241"/>
      <c r="B343" s="243"/>
      <c r="C343" s="241"/>
      <c r="D343" s="241"/>
      <c r="E343" s="241"/>
    </row>
    <row r="344" spans="1:5" customFormat="1" ht="24.95" customHeight="1" x14ac:dyDescent="0.25">
      <c r="A344" s="241"/>
      <c r="B344" s="243"/>
      <c r="C344" s="241"/>
      <c r="D344" s="241"/>
      <c r="E344" s="241"/>
    </row>
    <row r="345" spans="1:5" customFormat="1" ht="24.95" customHeight="1" x14ac:dyDescent="0.25">
      <c r="A345" s="241"/>
      <c r="B345" s="243"/>
      <c r="C345" s="241"/>
      <c r="D345" s="241"/>
      <c r="E345" s="241"/>
    </row>
    <row r="346" spans="1:5" customFormat="1" ht="24.95" customHeight="1" x14ac:dyDescent="0.25">
      <c r="A346" s="241"/>
      <c r="B346" s="243"/>
      <c r="C346" s="241"/>
      <c r="D346" s="241"/>
      <c r="E346" s="241"/>
    </row>
    <row r="347" spans="1:5" customFormat="1" ht="24.95" customHeight="1" x14ac:dyDescent="0.25">
      <c r="A347" s="241"/>
      <c r="B347" s="243"/>
      <c r="C347" s="241"/>
      <c r="D347" s="241"/>
      <c r="E347" s="241"/>
    </row>
    <row r="348" spans="1:5" customFormat="1" ht="24.95" customHeight="1" x14ac:dyDescent="0.25">
      <c r="A348" s="241"/>
      <c r="B348" s="243"/>
      <c r="C348" s="241"/>
      <c r="D348" s="241"/>
      <c r="E348" s="241"/>
    </row>
    <row r="349" spans="1:5" customFormat="1" ht="24.95" customHeight="1" x14ac:dyDescent="0.25">
      <c r="A349" s="241"/>
      <c r="B349" s="243"/>
      <c r="C349" s="241"/>
      <c r="D349" s="241"/>
      <c r="E349" s="241"/>
    </row>
    <row r="350" spans="1:5" customFormat="1" ht="24.95" customHeight="1" x14ac:dyDescent="0.25">
      <c r="A350" s="241"/>
      <c r="B350" s="243"/>
      <c r="C350" s="241"/>
      <c r="D350" s="241"/>
      <c r="E350" s="241"/>
    </row>
    <row r="351" spans="1:5" customFormat="1" ht="24.95" customHeight="1" x14ac:dyDescent="0.25">
      <c r="A351" s="241"/>
      <c r="B351" s="243"/>
      <c r="C351" s="241"/>
      <c r="D351" s="241"/>
      <c r="E351" s="241"/>
    </row>
    <row r="352" spans="1:5" customFormat="1" ht="24.95" customHeight="1" x14ac:dyDescent="0.25">
      <c r="A352" s="241"/>
      <c r="B352" s="243"/>
      <c r="C352" s="241"/>
      <c r="D352" s="241"/>
      <c r="E352" s="241"/>
    </row>
    <row r="353" spans="1:5" customFormat="1" ht="24.95" customHeight="1" x14ac:dyDescent="0.25">
      <c r="A353" s="241"/>
      <c r="B353" s="243"/>
      <c r="C353" s="241"/>
      <c r="D353" s="241"/>
      <c r="E353" s="241"/>
    </row>
    <row r="354" spans="1:5" customFormat="1" ht="24.95" customHeight="1" x14ac:dyDescent="0.25">
      <c r="A354" s="241"/>
      <c r="B354" s="243"/>
      <c r="C354" s="241"/>
      <c r="D354" s="241"/>
      <c r="E354" s="241"/>
    </row>
    <row r="355" spans="1:5" customFormat="1" ht="24.95" customHeight="1" x14ac:dyDescent="0.25">
      <c r="A355" s="241"/>
      <c r="B355" s="243"/>
      <c r="C355" s="241"/>
      <c r="D355" s="241"/>
      <c r="E355" s="241"/>
    </row>
    <row r="356" spans="1:5" customFormat="1" ht="24.95" customHeight="1" x14ac:dyDescent="0.25">
      <c r="A356" s="241"/>
      <c r="B356" s="243"/>
      <c r="C356" s="241"/>
      <c r="D356" s="241"/>
      <c r="E356" s="241"/>
    </row>
    <row r="357" spans="1:5" customFormat="1" ht="24.95" customHeight="1" x14ac:dyDescent="0.25">
      <c r="A357" s="241"/>
      <c r="B357" s="243"/>
      <c r="C357" s="241"/>
      <c r="D357" s="241"/>
      <c r="E357" s="241"/>
    </row>
    <row r="358" spans="1:5" customFormat="1" ht="24.95" customHeight="1" x14ac:dyDescent="0.25">
      <c r="A358" s="241"/>
      <c r="B358" s="243"/>
      <c r="C358" s="241"/>
      <c r="D358" s="241"/>
      <c r="E358" s="241"/>
    </row>
    <row r="359" spans="1:5" customFormat="1" ht="24.95" customHeight="1" x14ac:dyDescent="0.25">
      <c r="A359" s="241"/>
      <c r="B359" s="243"/>
      <c r="C359" s="241"/>
      <c r="D359" s="241"/>
      <c r="E359" s="241"/>
    </row>
    <row r="360" spans="1:5" customFormat="1" ht="24.95" customHeight="1" x14ac:dyDescent="0.25">
      <c r="A360" s="241"/>
      <c r="B360" s="243"/>
      <c r="C360" s="241"/>
      <c r="D360" s="241"/>
      <c r="E360" s="241"/>
    </row>
    <row r="361" spans="1:5" customFormat="1" ht="24.95" customHeight="1" x14ac:dyDescent="0.25">
      <c r="A361" s="241"/>
      <c r="B361" s="243"/>
      <c r="C361" s="241"/>
      <c r="D361" s="241"/>
      <c r="E361" s="241"/>
    </row>
    <row r="362" spans="1:5" customFormat="1" ht="24.95" customHeight="1" x14ac:dyDescent="0.25">
      <c r="A362" s="241"/>
      <c r="B362" s="243"/>
      <c r="C362" s="241"/>
      <c r="D362" s="241"/>
      <c r="E362" s="241"/>
    </row>
    <row r="363" spans="1:5" customFormat="1" ht="24.95" customHeight="1" x14ac:dyDescent="0.25">
      <c r="A363" s="241"/>
      <c r="B363" s="243"/>
      <c r="C363" s="241"/>
      <c r="D363" s="241"/>
      <c r="E363" s="241"/>
    </row>
    <row r="364" spans="1:5" customFormat="1" ht="24.95" customHeight="1" x14ac:dyDescent="0.25">
      <c r="A364" s="241"/>
      <c r="B364" s="243"/>
      <c r="C364" s="241"/>
      <c r="D364" s="241"/>
      <c r="E364" s="241"/>
    </row>
    <row r="365" spans="1:5" customFormat="1" ht="24.95" customHeight="1" x14ac:dyDescent="0.25">
      <c r="A365" s="241"/>
      <c r="B365" s="243"/>
      <c r="C365" s="241"/>
      <c r="D365" s="241"/>
      <c r="E365" s="241"/>
    </row>
    <row r="366" spans="1:5" customFormat="1" ht="24.95" customHeight="1" x14ac:dyDescent="0.25">
      <c r="A366" s="241"/>
      <c r="B366" s="243"/>
      <c r="C366" s="241"/>
      <c r="D366" s="241"/>
      <c r="E366" s="241"/>
    </row>
    <row r="367" spans="1:5" customFormat="1" ht="24.95" customHeight="1" x14ac:dyDescent="0.25">
      <c r="A367" s="241"/>
      <c r="B367" s="243"/>
      <c r="C367" s="241"/>
      <c r="D367" s="241"/>
      <c r="E367" s="241"/>
    </row>
    <row r="368" spans="1:5" customFormat="1" ht="24.95" customHeight="1" x14ac:dyDescent="0.25">
      <c r="A368" s="241"/>
      <c r="B368" s="243"/>
      <c r="C368" s="241"/>
      <c r="D368" s="241"/>
      <c r="E368" s="241"/>
    </row>
    <row r="369" spans="1:5" customFormat="1" ht="24.95" customHeight="1" x14ac:dyDescent="0.25">
      <c r="A369" s="241"/>
      <c r="B369" s="243"/>
      <c r="C369" s="241"/>
      <c r="D369" s="241"/>
      <c r="E369" s="241"/>
    </row>
    <row r="370" spans="1:5" customFormat="1" ht="24.95" customHeight="1" x14ac:dyDescent="0.25">
      <c r="A370" s="241"/>
      <c r="B370" s="243"/>
      <c r="C370" s="241"/>
      <c r="D370" s="241"/>
      <c r="E370" s="241"/>
    </row>
    <row r="371" spans="1:5" customFormat="1" ht="24.95" customHeight="1" x14ac:dyDescent="0.25">
      <c r="A371" s="241"/>
      <c r="B371" s="243"/>
      <c r="C371" s="241"/>
      <c r="D371" s="241"/>
      <c r="E371" s="241"/>
    </row>
    <row r="372" spans="1:5" customFormat="1" ht="24.95" customHeight="1" x14ac:dyDescent="0.25">
      <c r="A372" s="241"/>
      <c r="B372" s="243"/>
      <c r="C372" s="241"/>
      <c r="D372" s="241"/>
      <c r="E372" s="241"/>
    </row>
    <row r="373" spans="1:5" customFormat="1" ht="24.95" customHeight="1" x14ac:dyDescent="0.25">
      <c r="A373" s="241"/>
      <c r="B373" s="243"/>
      <c r="C373" s="241"/>
      <c r="D373" s="241"/>
      <c r="E373" s="241"/>
    </row>
    <row r="374" spans="1:5" customFormat="1" ht="24.95" customHeight="1" x14ac:dyDescent="0.25">
      <c r="A374" s="241"/>
      <c r="B374" s="243"/>
      <c r="C374" s="241"/>
      <c r="D374" s="241"/>
      <c r="E374" s="241"/>
    </row>
    <row r="375" spans="1:5" customFormat="1" ht="24.95" customHeight="1" x14ac:dyDescent="0.25">
      <c r="A375" s="241"/>
      <c r="B375" s="243"/>
      <c r="C375" s="241"/>
      <c r="D375" s="241"/>
      <c r="E375" s="241"/>
    </row>
    <row r="376" spans="1:5" customFormat="1" ht="24.95" customHeight="1" x14ac:dyDescent="0.25">
      <c r="A376" s="241"/>
      <c r="B376" s="243"/>
      <c r="C376" s="241"/>
      <c r="D376" s="241"/>
      <c r="E376" s="241"/>
    </row>
    <row r="377" spans="1:5" customFormat="1" ht="24.95" customHeight="1" x14ac:dyDescent="0.25">
      <c r="A377" s="241"/>
      <c r="B377" s="243"/>
      <c r="C377" s="241"/>
      <c r="D377" s="241"/>
      <c r="E377" s="241"/>
    </row>
    <row r="378" spans="1:5" customFormat="1" ht="24.95" customHeight="1" x14ac:dyDescent="0.25">
      <c r="A378" s="241"/>
      <c r="B378" s="243"/>
      <c r="C378" s="241"/>
      <c r="D378" s="241"/>
      <c r="E378" s="241"/>
    </row>
    <row r="379" spans="1:5" customFormat="1" ht="24.95" customHeight="1" x14ac:dyDescent="0.25">
      <c r="A379" s="241"/>
      <c r="B379" s="243"/>
      <c r="C379" s="241"/>
      <c r="D379" s="241"/>
      <c r="E379" s="241"/>
    </row>
    <row r="380" spans="1:5" customFormat="1" ht="24.95" customHeight="1" x14ac:dyDescent="0.25">
      <c r="A380" s="241"/>
      <c r="B380" s="243"/>
      <c r="C380" s="241"/>
      <c r="D380" s="241"/>
      <c r="E380" s="241"/>
    </row>
    <row r="381" spans="1:5" customFormat="1" ht="24.95" customHeight="1" x14ac:dyDescent="0.25">
      <c r="A381" s="241"/>
      <c r="B381" s="243"/>
      <c r="C381" s="241"/>
      <c r="D381" s="241"/>
      <c r="E381" s="241"/>
    </row>
    <row r="382" spans="1:5" customFormat="1" ht="24.95" customHeight="1" x14ac:dyDescent="0.25">
      <c r="A382" s="241"/>
      <c r="B382" s="243"/>
      <c r="C382" s="241"/>
      <c r="D382" s="241"/>
      <c r="E382" s="241"/>
    </row>
    <row r="383" spans="1:5" customFormat="1" ht="24.95" customHeight="1" x14ac:dyDescent="0.25">
      <c r="A383" s="241"/>
      <c r="B383" s="243"/>
      <c r="C383" s="241"/>
      <c r="D383" s="241"/>
      <c r="E383" s="241"/>
    </row>
    <row r="384" spans="1:5" customFormat="1" ht="24.95" customHeight="1" x14ac:dyDescent="0.25">
      <c r="A384" s="241"/>
      <c r="B384" s="243"/>
      <c r="C384" s="241"/>
      <c r="D384" s="241"/>
      <c r="E384" s="241"/>
    </row>
    <row r="385" spans="1:5" customFormat="1" ht="24.95" customHeight="1" x14ac:dyDescent="0.25">
      <c r="A385" s="241"/>
      <c r="B385" s="243"/>
      <c r="C385" s="241"/>
      <c r="D385" s="241"/>
      <c r="E385" s="241"/>
    </row>
    <row r="386" spans="1:5" customFormat="1" ht="24.95" customHeight="1" x14ac:dyDescent="0.25">
      <c r="A386" s="241"/>
      <c r="B386" s="243"/>
      <c r="C386" s="241"/>
      <c r="D386" s="241"/>
      <c r="E386" s="241"/>
    </row>
    <row r="387" spans="1:5" customFormat="1" ht="24.95" customHeight="1" x14ac:dyDescent="0.25">
      <c r="A387" s="241"/>
      <c r="B387" s="243"/>
      <c r="C387" s="241"/>
      <c r="D387" s="241"/>
      <c r="E387" s="241"/>
    </row>
    <row r="388" spans="1:5" customFormat="1" ht="24.95" customHeight="1" x14ac:dyDescent="0.25">
      <c r="A388" s="241"/>
      <c r="B388" s="243"/>
      <c r="C388" s="241"/>
      <c r="D388" s="241"/>
      <c r="E388" s="241"/>
    </row>
    <row r="389" spans="1:5" customFormat="1" ht="24.95" customHeight="1" x14ac:dyDescent="0.25">
      <c r="A389" s="241"/>
      <c r="B389" s="243"/>
      <c r="C389" s="241"/>
      <c r="D389" s="241"/>
      <c r="E389" s="241"/>
    </row>
    <row r="390" spans="1:5" customFormat="1" ht="24.95" customHeight="1" x14ac:dyDescent="0.25">
      <c r="A390" s="241"/>
      <c r="B390" s="243"/>
      <c r="C390" s="241"/>
      <c r="D390" s="241"/>
      <c r="E390" s="241"/>
    </row>
    <row r="391" spans="1:5" customFormat="1" ht="24.95" customHeight="1" x14ac:dyDescent="0.25">
      <c r="A391" s="241"/>
      <c r="B391" s="243"/>
      <c r="C391" s="241"/>
      <c r="D391" s="241"/>
      <c r="E391" s="241"/>
    </row>
    <row r="392" spans="1:5" customFormat="1" ht="24.95" customHeight="1" x14ac:dyDescent="0.25">
      <c r="A392" s="241"/>
      <c r="B392" s="243"/>
      <c r="C392" s="241"/>
      <c r="D392" s="241"/>
      <c r="E392" s="241"/>
    </row>
    <row r="393" spans="1:5" customFormat="1" ht="24.95" customHeight="1" x14ac:dyDescent="0.25">
      <c r="A393" s="241"/>
      <c r="B393" s="243"/>
      <c r="C393" s="241"/>
      <c r="D393" s="241"/>
      <c r="E393" s="241"/>
    </row>
    <row r="394" spans="1:5" customFormat="1" ht="24.95" customHeight="1" x14ac:dyDescent="0.25">
      <c r="A394" s="241"/>
      <c r="B394" s="243"/>
      <c r="C394" s="241"/>
      <c r="D394" s="241"/>
      <c r="E394" s="241"/>
    </row>
    <row r="395" spans="1:5" customFormat="1" ht="24.95" customHeight="1" x14ac:dyDescent="0.25">
      <c r="A395" s="241"/>
      <c r="B395" s="243"/>
      <c r="C395" s="241"/>
      <c r="D395" s="241"/>
      <c r="E395" s="241"/>
    </row>
    <row r="396" spans="1:5" customFormat="1" ht="24.95" customHeight="1" x14ac:dyDescent="0.25">
      <c r="A396" s="241"/>
      <c r="B396" s="243"/>
      <c r="C396" s="241"/>
      <c r="D396" s="241"/>
      <c r="E396" s="241"/>
    </row>
    <row r="397" spans="1:5" customFormat="1" ht="24.95" customHeight="1" x14ac:dyDescent="0.25">
      <c r="A397" s="241"/>
      <c r="B397" s="243"/>
      <c r="C397" s="241"/>
      <c r="D397" s="241"/>
      <c r="E397" s="241"/>
    </row>
    <row r="398" spans="1:5" customFormat="1" ht="24.95" customHeight="1" x14ac:dyDescent="0.25">
      <c r="A398" s="241"/>
      <c r="B398" s="243"/>
      <c r="C398" s="241"/>
      <c r="D398" s="241"/>
      <c r="E398" s="241"/>
    </row>
    <row r="399" spans="1:5" customFormat="1" ht="24.95" customHeight="1" x14ac:dyDescent="0.25">
      <c r="A399" s="241"/>
      <c r="B399" s="243"/>
      <c r="C399" s="241"/>
      <c r="D399" s="241"/>
      <c r="E399" s="241"/>
    </row>
    <row r="400" spans="1:5" customFormat="1" ht="24.95" customHeight="1" x14ac:dyDescent="0.25">
      <c r="A400" s="241"/>
      <c r="B400" s="243"/>
      <c r="C400" s="241"/>
      <c r="D400" s="241"/>
      <c r="E400" s="241"/>
    </row>
    <row r="401" spans="1:5" customFormat="1" ht="24.95" customHeight="1" x14ac:dyDescent="0.25">
      <c r="A401" s="241"/>
      <c r="B401" s="243"/>
      <c r="C401" s="241"/>
      <c r="D401" s="241"/>
      <c r="E401" s="241"/>
    </row>
    <row r="402" spans="1:5" customFormat="1" ht="24.95" customHeight="1" x14ac:dyDescent="0.25">
      <c r="A402" s="241"/>
      <c r="B402" s="243"/>
      <c r="C402" s="241"/>
      <c r="D402" s="241"/>
      <c r="E402" s="241"/>
    </row>
    <row r="403" spans="1:5" customFormat="1" ht="24.95" customHeight="1" x14ac:dyDescent="0.25">
      <c r="A403" s="241"/>
      <c r="B403" s="243"/>
      <c r="C403" s="241"/>
      <c r="D403" s="241"/>
      <c r="E403" s="241"/>
    </row>
    <row r="404" spans="1:5" customFormat="1" ht="24.95" customHeight="1" x14ac:dyDescent="0.25">
      <c r="A404" s="241"/>
      <c r="B404" s="243"/>
      <c r="C404" s="241"/>
      <c r="D404" s="241"/>
      <c r="E404" s="241"/>
    </row>
    <row r="405" spans="1:5" customFormat="1" ht="24.95" customHeight="1" x14ac:dyDescent="0.25">
      <c r="A405" s="241"/>
      <c r="B405" s="243"/>
      <c r="C405" s="241"/>
      <c r="D405" s="241"/>
      <c r="E405" s="241"/>
    </row>
    <row r="406" spans="1:5" customFormat="1" ht="24.95" customHeight="1" x14ac:dyDescent="0.25">
      <c r="A406" s="241"/>
      <c r="B406" s="243"/>
      <c r="C406" s="241"/>
      <c r="D406" s="241"/>
      <c r="E406" s="241"/>
    </row>
    <row r="407" spans="1:5" customFormat="1" ht="24.95" customHeight="1" x14ac:dyDescent="0.25">
      <c r="A407" s="241"/>
      <c r="B407" s="243"/>
      <c r="C407" s="241"/>
      <c r="D407" s="241"/>
      <c r="E407" s="241"/>
    </row>
    <row r="408" spans="1:5" customFormat="1" ht="24.95" customHeight="1" x14ac:dyDescent="0.25">
      <c r="A408" s="241"/>
      <c r="B408" s="243"/>
      <c r="C408" s="241"/>
      <c r="D408" s="241"/>
      <c r="E408" s="241"/>
    </row>
    <row r="409" spans="1:5" customFormat="1" ht="24.95" customHeight="1" x14ac:dyDescent="0.25">
      <c r="A409" s="241"/>
      <c r="B409" s="243"/>
      <c r="C409" s="241"/>
      <c r="D409" s="241"/>
      <c r="E409" s="241"/>
    </row>
    <row r="410" spans="1:5" customFormat="1" ht="24.95" customHeight="1" x14ac:dyDescent="0.25">
      <c r="A410" s="241"/>
      <c r="B410" s="243"/>
      <c r="C410" s="241"/>
      <c r="D410" s="241"/>
      <c r="E410" s="241"/>
    </row>
    <row r="411" spans="1:5" customFormat="1" ht="24.95" customHeight="1" x14ac:dyDescent="0.25">
      <c r="A411" s="241"/>
      <c r="B411" s="243"/>
      <c r="C411" s="241"/>
      <c r="D411" s="241"/>
      <c r="E411" s="241"/>
    </row>
    <row r="412" spans="1:5" customFormat="1" ht="24.95" customHeight="1" x14ac:dyDescent="0.25">
      <c r="A412" s="241"/>
      <c r="B412" s="243"/>
      <c r="C412" s="241"/>
      <c r="D412" s="241"/>
      <c r="E412" s="241"/>
    </row>
    <row r="413" spans="1:5" customFormat="1" ht="24.95" customHeight="1" x14ac:dyDescent="0.25">
      <c r="A413" s="241"/>
      <c r="B413" s="243"/>
      <c r="C413" s="241"/>
      <c r="D413" s="241"/>
      <c r="E413" s="241"/>
    </row>
    <row r="414" spans="1:5" customFormat="1" ht="24.95" customHeight="1" x14ac:dyDescent="0.25">
      <c r="A414" s="241"/>
      <c r="B414" s="243"/>
      <c r="C414" s="241"/>
      <c r="D414" s="241"/>
      <c r="E414" s="241"/>
    </row>
    <row r="415" spans="1:5" customFormat="1" ht="24.95" customHeight="1" x14ac:dyDescent="0.25">
      <c r="A415" s="241"/>
      <c r="B415" s="243"/>
      <c r="C415" s="241"/>
      <c r="D415" s="241"/>
      <c r="E415" s="241"/>
    </row>
    <row r="416" spans="1:5" customFormat="1" ht="24.95" customHeight="1" x14ac:dyDescent="0.25">
      <c r="A416" s="241"/>
      <c r="B416" s="243"/>
      <c r="C416" s="241"/>
      <c r="D416" s="241"/>
      <c r="E416" s="241"/>
    </row>
    <row r="417" spans="1:5" customFormat="1" ht="24.95" customHeight="1" x14ac:dyDescent="0.25">
      <c r="A417" s="241"/>
      <c r="B417" s="243"/>
      <c r="C417" s="241"/>
      <c r="D417" s="241"/>
      <c r="E417" s="241"/>
    </row>
    <row r="418" spans="1:5" customFormat="1" ht="24.95" customHeight="1" x14ac:dyDescent="0.25">
      <c r="A418" s="241"/>
      <c r="B418" s="243"/>
      <c r="C418" s="241"/>
      <c r="D418" s="241"/>
      <c r="E418" s="241"/>
    </row>
    <row r="419" spans="1:5" customFormat="1" ht="24.95" customHeight="1" x14ac:dyDescent="0.25">
      <c r="A419" s="241"/>
      <c r="B419" s="243"/>
      <c r="C419" s="241"/>
      <c r="D419" s="241"/>
      <c r="E419" s="241"/>
    </row>
    <row r="420" spans="1:5" customFormat="1" ht="24.95" customHeight="1" x14ac:dyDescent="0.25">
      <c r="A420" s="241"/>
      <c r="B420" s="243"/>
      <c r="C420" s="241"/>
      <c r="D420" s="241"/>
      <c r="E420" s="241"/>
    </row>
    <row r="421" spans="1:5" customFormat="1" ht="24.95" customHeight="1" x14ac:dyDescent="0.25">
      <c r="A421" s="241"/>
      <c r="B421" s="243"/>
      <c r="C421" s="241"/>
      <c r="D421" s="241"/>
      <c r="E421" s="241"/>
    </row>
    <row r="422" spans="1:5" customFormat="1" ht="24.95" customHeight="1" x14ac:dyDescent="0.25">
      <c r="A422" s="241"/>
      <c r="B422" s="243"/>
      <c r="C422" s="241"/>
      <c r="D422" s="241"/>
      <c r="E422" s="241"/>
    </row>
    <row r="423" spans="1:5" customFormat="1" ht="24.95" customHeight="1" x14ac:dyDescent="0.25">
      <c r="A423" s="241"/>
      <c r="B423" s="243"/>
      <c r="C423" s="241"/>
      <c r="D423" s="241"/>
      <c r="E423" s="241"/>
    </row>
    <row r="424" spans="1:5" customFormat="1" ht="24.95" customHeight="1" x14ac:dyDescent="0.25">
      <c r="A424" s="241"/>
      <c r="B424" s="243"/>
      <c r="C424" s="241"/>
      <c r="D424" s="241"/>
      <c r="E424" s="241"/>
    </row>
    <row r="425" spans="1:5" customFormat="1" ht="24.95" customHeight="1" x14ac:dyDescent="0.25">
      <c r="A425" s="241"/>
      <c r="B425" s="243"/>
      <c r="C425" s="241"/>
      <c r="D425" s="241"/>
      <c r="E425" s="241"/>
    </row>
    <row r="426" spans="1:5" customFormat="1" ht="24.95" customHeight="1" x14ac:dyDescent="0.25">
      <c r="A426" s="241"/>
      <c r="B426" s="243"/>
      <c r="C426" s="241"/>
      <c r="D426" s="241"/>
      <c r="E426" s="241"/>
    </row>
    <row r="427" spans="1:5" customFormat="1" ht="24.95" customHeight="1" x14ac:dyDescent="0.25">
      <c r="A427" s="241"/>
      <c r="B427" s="243"/>
      <c r="C427" s="241"/>
      <c r="D427" s="241"/>
      <c r="E427" s="241"/>
    </row>
    <row r="428" spans="1:5" customFormat="1" ht="24.95" customHeight="1" x14ac:dyDescent="0.25">
      <c r="A428" s="241"/>
      <c r="B428" s="243"/>
      <c r="C428" s="241"/>
      <c r="D428" s="241"/>
      <c r="E428" s="241"/>
    </row>
    <row r="429" spans="1:5" customFormat="1" ht="24.95" customHeight="1" x14ac:dyDescent="0.25">
      <c r="A429" s="241"/>
      <c r="B429" s="243"/>
      <c r="C429" s="241"/>
      <c r="D429" s="241"/>
      <c r="E429" s="241"/>
    </row>
    <row r="430" spans="1:5" customFormat="1" ht="24.95" customHeight="1" x14ac:dyDescent="0.25">
      <c r="A430" s="241"/>
      <c r="B430" s="243"/>
      <c r="C430" s="241"/>
      <c r="D430" s="241"/>
      <c r="E430" s="241"/>
    </row>
    <row r="431" spans="1:5" customFormat="1" ht="24.95" customHeight="1" x14ac:dyDescent="0.25">
      <c r="A431" s="241"/>
      <c r="B431" s="243"/>
      <c r="C431" s="241"/>
      <c r="D431" s="241"/>
      <c r="E431" s="241"/>
    </row>
    <row r="432" spans="1:5" customFormat="1" ht="24.95" customHeight="1" x14ac:dyDescent="0.25">
      <c r="A432" s="241"/>
      <c r="B432" s="243"/>
      <c r="C432" s="241"/>
      <c r="D432" s="241"/>
      <c r="E432" s="241"/>
    </row>
    <row r="433" spans="1:5" customFormat="1" ht="24.95" customHeight="1" x14ac:dyDescent="0.25">
      <c r="A433" s="241"/>
      <c r="B433" s="243"/>
      <c r="C433" s="241"/>
      <c r="D433" s="241"/>
      <c r="E433" s="241"/>
    </row>
    <row r="434" spans="1:5" customFormat="1" ht="24.95" customHeight="1" x14ac:dyDescent="0.25">
      <c r="A434" s="241"/>
      <c r="B434" s="243"/>
      <c r="C434" s="241"/>
      <c r="D434" s="241"/>
      <c r="E434" s="241"/>
    </row>
    <row r="435" spans="1:5" customFormat="1" ht="24.95" customHeight="1" x14ac:dyDescent="0.25">
      <c r="A435" s="241"/>
      <c r="B435" s="243"/>
      <c r="C435" s="241"/>
      <c r="D435" s="241"/>
      <c r="E435" s="241"/>
    </row>
    <row r="436" spans="1:5" customFormat="1" ht="24.95" customHeight="1" x14ac:dyDescent="0.25">
      <c r="A436" s="241"/>
      <c r="B436" s="243"/>
      <c r="C436" s="241"/>
      <c r="D436" s="241"/>
      <c r="E436" s="241"/>
    </row>
    <row r="437" spans="1:5" customFormat="1" ht="24.95" customHeight="1" x14ac:dyDescent="0.25">
      <c r="A437" s="241"/>
      <c r="B437" s="243"/>
      <c r="C437" s="241"/>
      <c r="D437" s="241"/>
      <c r="E437" s="241"/>
    </row>
    <row r="438" spans="1:5" customFormat="1" ht="24.95" customHeight="1" x14ac:dyDescent="0.25">
      <c r="A438" s="241"/>
      <c r="B438" s="243"/>
      <c r="C438" s="241"/>
      <c r="D438" s="241"/>
      <c r="E438" s="241"/>
    </row>
    <row r="439" spans="1:5" customFormat="1" ht="24.95" customHeight="1" x14ac:dyDescent="0.25">
      <c r="A439" s="241"/>
      <c r="B439" s="243"/>
      <c r="C439" s="241"/>
      <c r="D439" s="241"/>
      <c r="E439" s="241"/>
    </row>
    <row r="440" spans="1:5" customFormat="1" ht="24.95" customHeight="1" x14ac:dyDescent="0.25">
      <c r="A440" s="241"/>
      <c r="B440" s="243"/>
      <c r="C440" s="241"/>
      <c r="D440" s="241"/>
      <c r="E440" s="241"/>
    </row>
    <row r="441" spans="1:5" customFormat="1" ht="24.95" customHeight="1" x14ac:dyDescent="0.25">
      <c r="A441" s="241"/>
      <c r="B441" s="243"/>
      <c r="C441" s="241"/>
      <c r="D441" s="241"/>
      <c r="E441" s="241"/>
    </row>
    <row r="442" spans="1:5" customFormat="1" ht="24.95" customHeight="1" x14ac:dyDescent="0.25">
      <c r="A442" s="241"/>
      <c r="B442" s="243"/>
      <c r="C442" s="241"/>
      <c r="D442" s="241"/>
      <c r="E442" s="241"/>
    </row>
    <row r="443" spans="1:5" customFormat="1" ht="24.95" customHeight="1" x14ac:dyDescent="0.25">
      <c r="A443" s="241"/>
      <c r="B443" s="243"/>
      <c r="C443" s="241"/>
      <c r="D443" s="241"/>
      <c r="E443" s="241"/>
    </row>
    <row r="444" spans="1:5" customFormat="1" ht="24.95" customHeight="1" x14ac:dyDescent="0.25">
      <c r="A444" s="241"/>
      <c r="B444" s="243"/>
      <c r="C444" s="241"/>
      <c r="D444" s="241"/>
      <c r="E444" s="241"/>
    </row>
    <row r="445" spans="1:5" customFormat="1" ht="24.95" customHeight="1" x14ac:dyDescent="0.25">
      <c r="A445" s="241"/>
      <c r="B445" s="243"/>
      <c r="C445" s="241"/>
      <c r="D445" s="241"/>
      <c r="E445" s="241"/>
    </row>
    <row r="446" spans="1:5" customFormat="1" ht="24.95" customHeight="1" x14ac:dyDescent="0.25">
      <c r="A446" s="241"/>
      <c r="B446" s="243"/>
      <c r="C446" s="241"/>
      <c r="D446" s="241"/>
      <c r="E446" s="241"/>
    </row>
    <row r="447" spans="1:5" customFormat="1" ht="24.95" customHeight="1" x14ac:dyDescent="0.25">
      <c r="A447" s="241"/>
      <c r="B447" s="243"/>
      <c r="C447" s="241"/>
      <c r="D447" s="241"/>
      <c r="E447" s="241"/>
    </row>
    <row r="448" spans="1:5" customFormat="1" ht="24.95" customHeight="1" x14ac:dyDescent="0.25">
      <c r="A448" s="241"/>
      <c r="B448" s="243"/>
      <c r="C448" s="241"/>
      <c r="D448" s="241"/>
      <c r="E448" s="241"/>
    </row>
    <row r="449" spans="1:5" customFormat="1" ht="24.95" customHeight="1" x14ac:dyDescent="0.25">
      <c r="A449" s="241"/>
      <c r="B449" s="243"/>
      <c r="C449" s="241"/>
      <c r="D449" s="241"/>
      <c r="E449" s="241"/>
    </row>
    <row r="450" spans="1:5" customFormat="1" ht="24.95" customHeight="1" x14ac:dyDescent="0.25">
      <c r="A450" s="241"/>
      <c r="B450" s="243"/>
      <c r="C450" s="241"/>
      <c r="D450" s="241"/>
      <c r="E450" s="241"/>
    </row>
    <row r="451" spans="1:5" customFormat="1" ht="24.95" customHeight="1" x14ac:dyDescent="0.25">
      <c r="A451" s="241"/>
      <c r="B451" s="243"/>
      <c r="C451" s="241"/>
      <c r="D451" s="241"/>
      <c r="E451" s="241"/>
    </row>
    <row r="452" spans="1:5" customFormat="1" ht="24.95" customHeight="1" x14ac:dyDescent="0.25">
      <c r="A452" s="241"/>
      <c r="B452" s="243"/>
      <c r="C452" s="241"/>
      <c r="D452" s="241"/>
      <c r="E452" s="241"/>
    </row>
    <row r="453" spans="1:5" customFormat="1" ht="24.95" customHeight="1" x14ac:dyDescent="0.25">
      <c r="A453" s="241"/>
      <c r="B453" s="243"/>
      <c r="C453" s="241"/>
      <c r="D453" s="241"/>
      <c r="E453" s="241"/>
    </row>
    <row r="454" spans="1:5" customFormat="1" ht="24.95" customHeight="1" x14ac:dyDescent="0.25">
      <c r="A454" s="241"/>
      <c r="B454" s="243"/>
      <c r="C454" s="241"/>
      <c r="D454" s="241"/>
      <c r="E454" s="241"/>
    </row>
    <row r="455" spans="1:5" customFormat="1" ht="24.95" customHeight="1" x14ac:dyDescent="0.25">
      <c r="A455" s="241"/>
      <c r="B455" s="243"/>
      <c r="C455" s="241"/>
      <c r="D455" s="241"/>
      <c r="E455" s="241"/>
    </row>
    <row r="456" spans="1:5" customFormat="1" ht="24.95" customHeight="1" x14ac:dyDescent="0.25">
      <c r="A456" s="241"/>
      <c r="B456" s="243"/>
      <c r="C456" s="241"/>
      <c r="D456" s="241"/>
      <c r="E456" s="241"/>
    </row>
    <row r="457" spans="1:5" customFormat="1" ht="24.95" customHeight="1" x14ac:dyDescent="0.25">
      <c r="A457" s="241"/>
      <c r="B457" s="243"/>
      <c r="C457" s="241"/>
      <c r="D457" s="241"/>
      <c r="E457" s="241"/>
    </row>
    <row r="458" spans="1:5" customFormat="1" ht="24.95" customHeight="1" x14ac:dyDescent="0.25">
      <c r="A458" s="241"/>
      <c r="B458" s="243"/>
      <c r="C458" s="241"/>
      <c r="D458" s="241"/>
      <c r="E458" s="241"/>
    </row>
    <row r="459" spans="1:5" customFormat="1" ht="24.95" customHeight="1" x14ac:dyDescent="0.25">
      <c r="A459" s="241"/>
      <c r="B459" s="243"/>
      <c r="C459" s="241"/>
      <c r="D459" s="241"/>
      <c r="E459" s="241"/>
    </row>
    <row r="460" spans="1:5" customFormat="1" ht="24.95" customHeight="1" x14ac:dyDescent="0.25">
      <c r="A460" s="241"/>
      <c r="B460" s="243"/>
      <c r="C460" s="241"/>
      <c r="D460" s="241"/>
      <c r="E460" s="241"/>
    </row>
    <row r="461" spans="1:5" customFormat="1" ht="24.95" customHeight="1" x14ac:dyDescent="0.25">
      <c r="A461" s="241"/>
      <c r="B461" s="243"/>
      <c r="C461" s="241"/>
      <c r="D461" s="241"/>
      <c r="E461" s="241"/>
    </row>
    <row r="462" spans="1:5" customFormat="1" ht="24.95" customHeight="1" x14ac:dyDescent="0.25">
      <c r="A462" s="241"/>
      <c r="B462" s="243"/>
      <c r="C462" s="241"/>
      <c r="D462" s="241"/>
      <c r="E462" s="241"/>
    </row>
    <row r="463" spans="1:5" customFormat="1" ht="24.95" customHeight="1" x14ac:dyDescent="0.25">
      <c r="A463" s="241"/>
      <c r="B463" s="243"/>
      <c r="C463" s="241"/>
      <c r="D463" s="241"/>
      <c r="E463" s="241"/>
    </row>
    <row r="464" spans="1:5" customFormat="1" ht="24.95" customHeight="1" x14ac:dyDescent="0.25">
      <c r="A464" s="241"/>
      <c r="B464" s="243"/>
      <c r="C464" s="241"/>
      <c r="D464" s="241"/>
      <c r="E464" s="241"/>
    </row>
    <row r="465" spans="1:5" customFormat="1" ht="24.95" customHeight="1" x14ac:dyDescent="0.25">
      <c r="A465" s="241"/>
      <c r="B465" s="243"/>
      <c r="C465" s="241"/>
      <c r="D465" s="241"/>
      <c r="E465" s="241"/>
    </row>
    <row r="466" spans="1:5" customFormat="1" ht="24.95" customHeight="1" x14ac:dyDescent="0.25">
      <c r="A466" s="241"/>
      <c r="B466" s="243"/>
      <c r="C466" s="241"/>
      <c r="D466" s="241"/>
      <c r="E466" s="241"/>
    </row>
    <row r="467" spans="1:5" customFormat="1" ht="24.95" customHeight="1" x14ac:dyDescent="0.25">
      <c r="A467" s="241"/>
      <c r="B467" s="243"/>
      <c r="C467" s="241"/>
      <c r="D467" s="241"/>
      <c r="E467" s="241"/>
    </row>
    <row r="468" spans="1:5" customFormat="1" ht="24.95" customHeight="1" x14ac:dyDescent="0.25">
      <c r="A468" s="241"/>
      <c r="B468" s="243"/>
      <c r="C468" s="241"/>
      <c r="D468" s="241"/>
      <c r="E468" s="241"/>
    </row>
    <row r="469" spans="1:5" customFormat="1" ht="24.95" customHeight="1" x14ac:dyDescent="0.25">
      <c r="A469" s="241"/>
      <c r="B469" s="243"/>
      <c r="C469" s="241"/>
      <c r="D469" s="241"/>
      <c r="E469" s="241"/>
    </row>
    <row r="470" spans="1:5" customFormat="1" ht="24.95" customHeight="1" x14ac:dyDescent="0.25">
      <c r="A470" s="241"/>
      <c r="B470" s="243"/>
      <c r="C470" s="241"/>
      <c r="D470" s="241"/>
      <c r="E470" s="241"/>
    </row>
    <row r="471" spans="1:5" customFormat="1" ht="24.95" customHeight="1" x14ac:dyDescent="0.25">
      <c r="A471" s="241"/>
      <c r="B471" s="243"/>
      <c r="C471" s="241"/>
      <c r="D471" s="241"/>
      <c r="E471" s="241"/>
    </row>
    <row r="472" spans="1:5" customFormat="1" ht="24.95" customHeight="1" x14ac:dyDescent="0.25">
      <c r="A472" s="241"/>
      <c r="B472" s="243"/>
      <c r="C472" s="241"/>
      <c r="D472" s="241"/>
      <c r="E472" s="241"/>
    </row>
    <row r="473" spans="1:5" customFormat="1" ht="24.95" customHeight="1" x14ac:dyDescent="0.25">
      <c r="A473" s="241"/>
      <c r="B473" s="243"/>
      <c r="C473" s="241"/>
      <c r="D473" s="241"/>
      <c r="E473" s="241"/>
    </row>
    <row r="474" spans="1:5" customFormat="1" ht="24.95" customHeight="1" x14ac:dyDescent="0.25">
      <c r="A474" s="241"/>
      <c r="B474" s="243"/>
      <c r="C474" s="241"/>
      <c r="D474" s="241"/>
      <c r="E474" s="241"/>
    </row>
    <row r="475" spans="1:5" customFormat="1" ht="24.95" customHeight="1" x14ac:dyDescent="0.25">
      <c r="A475" s="241"/>
      <c r="B475" s="243"/>
      <c r="C475" s="241"/>
      <c r="D475" s="241"/>
      <c r="E475" s="241"/>
    </row>
    <row r="476" spans="1:5" customFormat="1" ht="24.95" customHeight="1" x14ac:dyDescent="0.25">
      <c r="A476" s="241"/>
      <c r="B476" s="243"/>
      <c r="C476" s="241"/>
      <c r="D476" s="241"/>
      <c r="E476" s="241"/>
    </row>
    <row r="477" spans="1:5" customFormat="1" ht="24.95" customHeight="1" x14ac:dyDescent="0.25">
      <c r="A477" s="241"/>
      <c r="B477" s="243"/>
      <c r="C477" s="241"/>
      <c r="D477" s="241"/>
      <c r="E477" s="241"/>
    </row>
    <row r="478" spans="1:5" customFormat="1" ht="24.95" customHeight="1" x14ac:dyDescent="0.25">
      <c r="A478" s="241"/>
      <c r="B478" s="243"/>
      <c r="C478" s="241"/>
      <c r="D478" s="241"/>
      <c r="E478" s="241"/>
    </row>
    <row r="479" spans="1:5" customFormat="1" ht="24.95" customHeight="1" x14ac:dyDescent="0.25">
      <c r="A479" s="241"/>
      <c r="B479" s="243"/>
      <c r="C479" s="241"/>
      <c r="D479" s="241"/>
      <c r="E479" s="241"/>
    </row>
    <row r="480" spans="1:5" customFormat="1" ht="24.95" customHeight="1" x14ac:dyDescent="0.25">
      <c r="A480" s="241"/>
      <c r="B480" s="243"/>
      <c r="C480" s="241"/>
      <c r="D480" s="241"/>
      <c r="E480" s="241"/>
    </row>
    <row r="481" spans="1:5" customFormat="1" ht="24.95" customHeight="1" x14ac:dyDescent="0.25">
      <c r="A481" s="241"/>
      <c r="B481" s="243"/>
      <c r="C481" s="241"/>
      <c r="D481" s="241"/>
      <c r="E481" s="241"/>
    </row>
    <row r="482" spans="1:5" customFormat="1" ht="24.95" customHeight="1" x14ac:dyDescent="0.25">
      <c r="A482" s="241"/>
      <c r="B482" s="243"/>
      <c r="C482" s="241"/>
      <c r="D482" s="241"/>
      <c r="E482" s="241"/>
    </row>
    <row r="483" spans="1:5" customFormat="1" ht="24.95" customHeight="1" x14ac:dyDescent="0.25">
      <c r="A483" s="241"/>
      <c r="B483" s="243"/>
      <c r="C483" s="241"/>
      <c r="D483" s="241"/>
      <c r="E483" s="241"/>
    </row>
    <row r="484" spans="1:5" customFormat="1" ht="24.95" customHeight="1" x14ac:dyDescent="0.25">
      <c r="A484" s="241"/>
      <c r="B484" s="243"/>
      <c r="C484" s="241"/>
      <c r="D484" s="241"/>
      <c r="E484" s="241"/>
    </row>
    <row r="485" spans="1:5" customFormat="1" ht="24.95" customHeight="1" x14ac:dyDescent="0.25">
      <c r="A485" s="241"/>
      <c r="B485" s="243"/>
      <c r="C485" s="241"/>
      <c r="D485" s="241"/>
      <c r="E485" s="241"/>
    </row>
    <row r="486" spans="1:5" customFormat="1" ht="24.95" customHeight="1" x14ac:dyDescent="0.25">
      <c r="A486" s="241"/>
      <c r="B486" s="243"/>
      <c r="C486" s="241"/>
      <c r="D486" s="241"/>
      <c r="E486" s="241"/>
    </row>
    <row r="487" spans="1:5" customFormat="1" ht="24.95" customHeight="1" x14ac:dyDescent="0.25">
      <c r="A487" s="241"/>
      <c r="B487" s="243"/>
      <c r="C487" s="241"/>
      <c r="D487" s="241"/>
      <c r="E487" s="241"/>
    </row>
    <row r="488" spans="1:5" customFormat="1" ht="24.95" customHeight="1" x14ac:dyDescent="0.25">
      <c r="A488" s="241"/>
      <c r="B488" s="243"/>
      <c r="C488" s="241"/>
      <c r="D488" s="241"/>
      <c r="E488" s="241"/>
    </row>
    <row r="489" spans="1:5" customFormat="1" ht="24.95" customHeight="1" x14ac:dyDescent="0.25">
      <c r="A489" s="241"/>
      <c r="B489" s="243"/>
      <c r="C489" s="241"/>
      <c r="D489" s="241"/>
      <c r="E489" s="241"/>
    </row>
    <row r="490" spans="1:5" customFormat="1" ht="24.95" customHeight="1" x14ac:dyDescent="0.25">
      <c r="A490" s="241"/>
      <c r="B490" s="243"/>
      <c r="C490" s="241"/>
      <c r="D490" s="241"/>
      <c r="E490" s="241"/>
    </row>
    <row r="491" spans="1:5" customFormat="1" ht="24.95" customHeight="1" x14ac:dyDescent="0.25">
      <c r="A491" s="241"/>
      <c r="B491" s="243"/>
      <c r="C491" s="241"/>
      <c r="D491" s="241"/>
      <c r="E491" s="241"/>
    </row>
    <row r="492" spans="1:5" customFormat="1" ht="24.95" customHeight="1" x14ac:dyDescent="0.25">
      <c r="A492" s="241"/>
      <c r="B492" s="243"/>
      <c r="C492" s="241"/>
      <c r="D492" s="241"/>
      <c r="E492" s="241"/>
    </row>
    <row r="493" spans="1:5" customFormat="1" ht="24.95" customHeight="1" x14ac:dyDescent="0.25">
      <c r="A493" s="241"/>
      <c r="B493" s="243"/>
      <c r="C493" s="241"/>
      <c r="D493" s="241"/>
      <c r="E493" s="241"/>
    </row>
    <row r="494" spans="1:5" customFormat="1" ht="24.95" customHeight="1" x14ac:dyDescent="0.25">
      <c r="A494" s="241"/>
      <c r="B494" s="243"/>
      <c r="C494" s="241"/>
      <c r="D494" s="241"/>
      <c r="E494" s="241"/>
    </row>
    <row r="495" spans="1:5" customFormat="1" ht="24.95" customHeight="1" x14ac:dyDescent="0.25">
      <c r="A495" s="241"/>
      <c r="B495" s="243"/>
      <c r="C495" s="241"/>
      <c r="D495" s="241"/>
      <c r="E495" s="241"/>
    </row>
    <row r="496" spans="1:5" customFormat="1" ht="24.95" customHeight="1" x14ac:dyDescent="0.25">
      <c r="A496" s="241"/>
      <c r="B496" s="243"/>
      <c r="C496" s="241"/>
      <c r="D496" s="241"/>
      <c r="E496" s="241"/>
    </row>
    <row r="497" spans="1:5" customFormat="1" ht="24.95" customHeight="1" x14ac:dyDescent="0.25">
      <c r="A497" s="241"/>
      <c r="B497" s="243"/>
      <c r="C497" s="241"/>
      <c r="D497" s="241"/>
      <c r="E497" s="241"/>
    </row>
    <row r="498" spans="1:5" customFormat="1" ht="24.95" customHeight="1" x14ac:dyDescent="0.25">
      <c r="A498" s="241"/>
      <c r="B498" s="243"/>
      <c r="C498" s="241"/>
      <c r="D498" s="241"/>
      <c r="E498" s="241"/>
    </row>
    <row r="499" spans="1:5" customFormat="1" ht="24.95" customHeight="1" x14ac:dyDescent="0.25">
      <c r="A499" s="241"/>
      <c r="B499" s="243"/>
      <c r="C499" s="241"/>
      <c r="D499" s="241"/>
      <c r="E499" s="241"/>
    </row>
    <row r="500" spans="1:5" customFormat="1" ht="24.95" customHeight="1" x14ac:dyDescent="0.25">
      <c r="A500" s="241"/>
      <c r="B500" s="243"/>
      <c r="C500" s="241"/>
      <c r="D500" s="241"/>
      <c r="E500" s="241"/>
    </row>
    <row r="501" spans="1:5" customFormat="1" ht="24.95" customHeight="1" x14ac:dyDescent="0.25">
      <c r="A501" s="241"/>
      <c r="B501" s="243"/>
      <c r="C501" s="241"/>
      <c r="D501" s="241"/>
      <c r="E501" s="241"/>
    </row>
    <row r="502" spans="1:5" customFormat="1" ht="24.95" customHeight="1" x14ac:dyDescent="0.25">
      <c r="A502" s="241"/>
      <c r="B502" s="243"/>
      <c r="C502" s="241"/>
      <c r="D502" s="241"/>
      <c r="E502" s="241"/>
    </row>
    <row r="503" spans="1:5" customFormat="1" ht="24.95" customHeight="1" x14ac:dyDescent="0.25">
      <c r="A503" s="241"/>
      <c r="B503" s="243"/>
      <c r="C503" s="241"/>
      <c r="D503" s="241"/>
      <c r="E503" s="241"/>
    </row>
    <row r="504" spans="1:5" customFormat="1" ht="24.95" customHeight="1" x14ac:dyDescent="0.25">
      <c r="A504" s="241"/>
      <c r="B504" s="243"/>
      <c r="C504" s="241"/>
      <c r="D504" s="241"/>
      <c r="E504" s="241"/>
    </row>
    <row r="505" spans="1:5" customFormat="1" ht="24.95" customHeight="1" x14ac:dyDescent="0.25">
      <c r="A505" s="241"/>
      <c r="B505" s="243"/>
      <c r="C505" s="241"/>
      <c r="D505" s="241"/>
      <c r="E505" s="241"/>
    </row>
    <row r="506" spans="1:5" customFormat="1" ht="24.95" customHeight="1" x14ac:dyDescent="0.25">
      <c r="A506" s="241"/>
      <c r="B506" s="243"/>
      <c r="C506" s="241"/>
      <c r="D506" s="241"/>
      <c r="E506" s="241"/>
    </row>
    <row r="507" spans="1:5" customFormat="1" ht="24.95" customHeight="1" x14ac:dyDescent="0.25">
      <c r="A507" s="241"/>
      <c r="B507" s="243"/>
      <c r="C507" s="241"/>
      <c r="D507" s="241"/>
      <c r="E507" s="241"/>
    </row>
    <row r="508" spans="1:5" customFormat="1" ht="24.95" customHeight="1" x14ac:dyDescent="0.25">
      <c r="A508" s="241"/>
      <c r="B508" s="243"/>
      <c r="C508" s="241"/>
      <c r="D508" s="241"/>
      <c r="E508" s="241"/>
    </row>
    <row r="509" spans="1:5" customFormat="1" ht="24.95" customHeight="1" x14ac:dyDescent="0.25">
      <c r="A509" s="241"/>
      <c r="B509" s="243"/>
      <c r="C509" s="241"/>
      <c r="D509" s="241"/>
      <c r="E509" s="241"/>
    </row>
    <row r="510" spans="1:5" customFormat="1" ht="24.95" customHeight="1" x14ac:dyDescent="0.25">
      <c r="A510" s="241"/>
      <c r="B510" s="243"/>
      <c r="C510" s="241"/>
      <c r="D510" s="241"/>
      <c r="E510" s="241"/>
    </row>
    <row r="511" spans="1:5" customFormat="1" ht="24.95" customHeight="1" x14ac:dyDescent="0.25">
      <c r="A511" s="241"/>
      <c r="B511" s="243"/>
      <c r="C511" s="241"/>
      <c r="D511" s="241"/>
      <c r="E511" s="241"/>
    </row>
    <row r="512" spans="1:5" customFormat="1" ht="24.95" customHeight="1" x14ac:dyDescent="0.25">
      <c r="A512" s="241"/>
      <c r="B512" s="243"/>
      <c r="C512" s="241"/>
      <c r="D512" s="241"/>
      <c r="E512" s="241"/>
    </row>
    <row r="513" spans="1:5" customFormat="1" ht="24.95" customHeight="1" x14ac:dyDescent="0.25">
      <c r="A513" s="241"/>
      <c r="B513" s="243"/>
      <c r="C513" s="241"/>
      <c r="D513" s="241"/>
      <c r="E513" s="241"/>
    </row>
    <row r="514" spans="1:5" customFormat="1" ht="24.95" customHeight="1" x14ac:dyDescent="0.25">
      <c r="A514" s="241"/>
      <c r="B514" s="243"/>
      <c r="C514" s="241"/>
      <c r="D514" s="241"/>
      <c r="E514" s="241"/>
    </row>
    <row r="515" spans="1:5" customFormat="1" ht="24.95" customHeight="1" x14ac:dyDescent="0.25">
      <c r="A515" s="241"/>
      <c r="B515" s="243"/>
      <c r="C515" s="241"/>
      <c r="D515" s="241"/>
      <c r="E515" s="241"/>
    </row>
    <row r="516" spans="1:5" customFormat="1" ht="24.95" customHeight="1" x14ac:dyDescent="0.25">
      <c r="A516" s="241"/>
      <c r="B516" s="243"/>
      <c r="C516" s="241"/>
      <c r="D516" s="241"/>
      <c r="E516" s="241"/>
    </row>
    <row r="517" spans="1:5" customFormat="1" ht="24.95" customHeight="1" x14ac:dyDescent="0.25">
      <c r="A517" s="241"/>
      <c r="B517" s="243"/>
      <c r="C517" s="241"/>
      <c r="D517" s="241"/>
      <c r="E517" s="241"/>
    </row>
    <row r="518" spans="1:5" customFormat="1" ht="24.95" customHeight="1" x14ac:dyDescent="0.25">
      <c r="A518" s="241"/>
      <c r="B518" s="243"/>
      <c r="C518" s="241"/>
      <c r="D518" s="241"/>
      <c r="E518" s="241"/>
    </row>
    <row r="519" spans="1:5" customFormat="1" ht="24.95" customHeight="1" x14ac:dyDescent="0.25">
      <c r="A519" s="241"/>
      <c r="B519" s="243"/>
      <c r="C519" s="241"/>
      <c r="D519" s="241"/>
      <c r="E519" s="241"/>
    </row>
    <row r="520" spans="1:5" customFormat="1" ht="24.95" customHeight="1" x14ac:dyDescent="0.25">
      <c r="A520" s="241"/>
      <c r="B520" s="243"/>
      <c r="C520" s="241"/>
      <c r="D520" s="241"/>
      <c r="E520" s="241"/>
    </row>
    <row r="521" spans="1:5" customFormat="1" ht="24.95" customHeight="1" x14ac:dyDescent="0.25">
      <c r="A521" s="241"/>
      <c r="B521" s="243"/>
      <c r="C521" s="241"/>
      <c r="D521" s="241"/>
      <c r="E521" s="241"/>
    </row>
    <row r="522" spans="1:5" customFormat="1" ht="24.95" customHeight="1" x14ac:dyDescent="0.25">
      <c r="A522" s="241"/>
      <c r="B522" s="243"/>
      <c r="C522" s="241"/>
      <c r="D522" s="241"/>
      <c r="E522" s="241"/>
    </row>
    <row r="523" spans="1:5" customFormat="1" ht="24.95" customHeight="1" x14ac:dyDescent="0.25">
      <c r="A523" s="241"/>
      <c r="B523" s="243"/>
      <c r="C523" s="241"/>
      <c r="D523" s="241"/>
      <c r="E523" s="241"/>
    </row>
    <row r="524" spans="1:5" customFormat="1" ht="24.95" customHeight="1" x14ac:dyDescent="0.25">
      <c r="A524" s="241"/>
      <c r="B524" s="243"/>
      <c r="C524" s="241"/>
      <c r="D524" s="241"/>
      <c r="E524" s="241"/>
    </row>
    <row r="525" spans="1:5" customFormat="1" ht="24.95" customHeight="1" x14ac:dyDescent="0.25">
      <c r="A525" s="241"/>
      <c r="B525" s="243"/>
      <c r="C525" s="241"/>
      <c r="D525" s="241"/>
      <c r="E525" s="241"/>
    </row>
    <row r="526" spans="1:5" customFormat="1" ht="24.95" customHeight="1" x14ac:dyDescent="0.25">
      <c r="A526" s="241"/>
      <c r="B526" s="243"/>
      <c r="C526" s="241"/>
      <c r="D526" s="241"/>
      <c r="E526" s="241"/>
    </row>
    <row r="527" spans="1:5" customFormat="1" ht="24.95" customHeight="1" x14ac:dyDescent="0.25">
      <c r="A527" s="241"/>
      <c r="B527" s="243"/>
      <c r="C527" s="241"/>
      <c r="D527" s="241"/>
      <c r="E527" s="241"/>
    </row>
    <row r="528" spans="1:5" customFormat="1" ht="24.95" customHeight="1" x14ac:dyDescent="0.25">
      <c r="A528" s="241"/>
      <c r="B528" s="243"/>
      <c r="C528" s="241"/>
      <c r="D528" s="241"/>
      <c r="E528" s="241"/>
    </row>
    <row r="529" spans="1:5" customFormat="1" ht="24.95" customHeight="1" x14ac:dyDescent="0.25">
      <c r="A529" s="241"/>
      <c r="B529" s="243"/>
      <c r="C529" s="241"/>
      <c r="D529" s="241"/>
      <c r="E529" s="241"/>
    </row>
    <row r="530" spans="1:5" customFormat="1" ht="24.95" customHeight="1" x14ac:dyDescent="0.25">
      <c r="A530" s="241"/>
      <c r="B530" s="243"/>
      <c r="C530" s="241"/>
      <c r="D530" s="241"/>
      <c r="E530" s="241"/>
    </row>
    <row r="531" spans="1:5" customFormat="1" ht="24.95" customHeight="1" x14ac:dyDescent="0.25">
      <c r="A531" s="241"/>
      <c r="B531" s="243"/>
      <c r="C531" s="241"/>
      <c r="D531" s="241"/>
      <c r="E531" s="241"/>
    </row>
    <row r="532" spans="1:5" customFormat="1" ht="24.95" customHeight="1" x14ac:dyDescent="0.25">
      <c r="A532" s="241"/>
      <c r="B532" s="243"/>
      <c r="C532" s="241"/>
      <c r="D532" s="241"/>
      <c r="E532" s="241"/>
    </row>
    <row r="533" spans="1:5" customFormat="1" ht="24.95" customHeight="1" x14ac:dyDescent="0.25">
      <c r="A533" s="241"/>
      <c r="B533" s="243"/>
      <c r="C533" s="241"/>
      <c r="D533" s="241"/>
      <c r="E533" s="241"/>
    </row>
    <row r="534" spans="1:5" customFormat="1" ht="24.95" customHeight="1" x14ac:dyDescent="0.25">
      <c r="A534" s="241"/>
      <c r="B534" s="243"/>
      <c r="C534" s="241"/>
      <c r="D534" s="241"/>
      <c r="E534" s="241"/>
    </row>
    <row r="535" spans="1:5" customFormat="1" ht="24.95" customHeight="1" x14ac:dyDescent="0.25">
      <c r="A535" s="241"/>
      <c r="B535" s="243"/>
      <c r="C535" s="241"/>
      <c r="D535" s="241"/>
      <c r="E535" s="241"/>
    </row>
    <row r="536" spans="1:5" customFormat="1" ht="24.95" customHeight="1" x14ac:dyDescent="0.25">
      <c r="A536" s="241"/>
      <c r="B536" s="243"/>
      <c r="C536" s="241"/>
      <c r="D536" s="241"/>
      <c r="E536" s="241"/>
    </row>
    <row r="537" spans="1:5" customFormat="1" ht="24.95" customHeight="1" x14ac:dyDescent="0.25">
      <c r="A537" s="241"/>
      <c r="B537" s="243"/>
      <c r="C537" s="241"/>
      <c r="D537" s="241"/>
      <c r="E537" s="241"/>
    </row>
    <row r="538" spans="1:5" customFormat="1" ht="24.95" customHeight="1" x14ac:dyDescent="0.25">
      <c r="A538" s="241"/>
      <c r="B538" s="243"/>
      <c r="C538" s="241"/>
      <c r="D538" s="241"/>
      <c r="E538" s="241"/>
    </row>
    <row r="539" spans="1:5" customFormat="1" ht="24.95" customHeight="1" x14ac:dyDescent="0.25">
      <c r="A539" s="241"/>
      <c r="B539" s="243"/>
      <c r="C539" s="241"/>
      <c r="D539" s="241"/>
      <c r="E539" s="241"/>
    </row>
    <row r="540" spans="1:5" customFormat="1" ht="24.95" customHeight="1" x14ac:dyDescent="0.25">
      <c r="A540" s="241"/>
      <c r="B540" s="243"/>
      <c r="C540" s="241"/>
      <c r="D540" s="241"/>
      <c r="E540" s="241"/>
    </row>
    <row r="541" spans="1:5" customFormat="1" ht="24.95" customHeight="1" x14ac:dyDescent="0.25">
      <c r="A541" s="241"/>
      <c r="B541" s="243"/>
      <c r="C541" s="241"/>
      <c r="D541" s="241"/>
      <c r="E541" s="241"/>
    </row>
    <row r="542" spans="1:5" customFormat="1" ht="24.95" customHeight="1" x14ac:dyDescent="0.25">
      <c r="A542" s="241"/>
      <c r="B542" s="243"/>
      <c r="C542" s="241"/>
      <c r="D542" s="241"/>
      <c r="E542" s="241"/>
    </row>
    <row r="543" spans="1:5" customFormat="1" ht="24.95" customHeight="1" x14ac:dyDescent="0.25">
      <c r="A543" s="241"/>
      <c r="B543" s="243"/>
      <c r="C543" s="241"/>
      <c r="D543" s="241"/>
      <c r="E543" s="241"/>
    </row>
    <row r="544" spans="1:5" customFormat="1" ht="24.95" customHeight="1" x14ac:dyDescent="0.25">
      <c r="A544" s="241"/>
      <c r="B544" s="243"/>
      <c r="C544" s="241"/>
      <c r="D544" s="241"/>
      <c r="E544" s="241"/>
    </row>
    <row r="545" spans="1:5" customFormat="1" ht="24.95" customHeight="1" x14ac:dyDescent="0.25">
      <c r="A545" s="241"/>
      <c r="B545" s="243"/>
      <c r="C545" s="241"/>
      <c r="D545" s="241"/>
      <c r="E545" s="241"/>
    </row>
    <row r="546" spans="1:5" customFormat="1" ht="24.95" customHeight="1" x14ac:dyDescent="0.25">
      <c r="A546" s="241"/>
      <c r="B546" s="243"/>
      <c r="C546" s="241"/>
      <c r="D546" s="241"/>
      <c r="E546" s="241"/>
    </row>
    <row r="547" spans="1:5" customFormat="1" ht="24.95" customHeight="1" x14ac:dyDescent="0.25">
      <c r="A547" s="241"/>
      <c r="B547" s="243"/>
      <c r="C547" s="241"/>
      <c r="D547" s="241"/>
      <c r="E547" s="241"/>
    </row>
    <row r="548" spans="1:5" customFormat="1" ht="24.95" customHeight="1" x14ac:dyDescent="0.25">
      <c r="A548" s="241"/>
      <c r="B548" s="243"/>
      <c r="C548" s="241"/>
      <c r="D548" s="241"/>
      <c r="E548" s="241"/>
    </row>
    <row r="549" spans="1:5" customFormat="1" ht="24.95" customHeight="1" x14ac:dyDescent="0.25">
      <c r="A549" s="241"/>
      <c r="B549" s="243"/>
      <c r="C549" s="241"/>
      <c r="D549" s="241"/>
      <c r="E549" s="241"/>
    </row>
    <row r="550" spans="1:5" customFormat="1" ht="24.95" customHeight="1" x14ac:dyDescent="0.25">
      <c r="A550" s="241"/>
      <c r="B550" s="243"/>
      <c r="C550" s="241"/>
      <c r="D550" s="241"/>
      <c r="E550" s="241"/>
    </row>
    <row r="551" spans="1:5" customFormat="1" ht="24.95" customHeight="1" x14ac:dyDescent="0.25">
      <c r="A551" s="241"/>
      <c r="B551" s="243"/>
      <c r="C551" s="241"/>
      <c r="D551" s="241"/>
      <c r="E551" s="241"/>
    </row>
    <row r="552" spans="1:5" customFormat="1" ht="24.95" customHeight="1" x14ac:dyDescent="0.25">
      <c r="A552" s="241"/>
      <c r="B552" s="243"/>
      <c r="C552" s="241"/>
      <c r="D552" s="241"/>
      <c r="E552" s="241"/>
    </row>
    <row r="553" spans="1:5" customFormat="1" ht="24.95" customHeight="1" x14ac:dyDescent="0.25">
      <c r="A553" s="241"/>
      <c r="B553" s="243"/>
      <c r="C553" s="241"/>
      <c r="D553" s="241"/>
      <c r="E553" s="241"/>
    </row>
    <row r="554" spans="1:5" customFormat="1" ht="24.95" customHeight="1" x14ac:dyDescent="0.25">
      <c r="A554" s="241"/>
      <c r="B554" s="243"/>
      <c r="C554" s="241"/>
      <c r="D554" s="241"/>
      <c r="E554" s="241"/>
    </row>
    <row r="555" spans="1:5" customFormat="1" ht="24.95" customHeight="1" x14ac:dyDescent="0.25">
      <c r="A555" s="241"/>
      <c r="B555" s="243"/>
      <c r="C555" s="241"/>
      <c r="D555" s="241"/>
      <c r="E555" s="241"/>
    </row>
    <row r="556" spans="1:5" customFormat="1" ht="24.95" customHeight="1" x14ac:dyDescent="0.25">
      <c r="A556" s="241"/>
      <c r="B556" s="243"/>
      <c r="C556" s="241"/>
      <c r="D556" s="241"/>
      <c r="E556" s="241"/>
    </row>
    <row r="557" spans="1:5" customFormat="1" ht="24.95" customHeight="1" x14ac:dyDescent="0.25">
      <c r="A557" s="241"/>
      <c r="B557" s="243"/>
      <c r="C557" s="241"/>
      <c r="D557" s="241"/>
      <c r="E557" s="241"/>
    </row>
    <row r="558" spans="1:5" customFormat="1" ht="24.95" customHeight="1" x14ac:dyDescent="0.25">
      <c r="A558" s="241"/>
      <c r="B558" s="243"/>
      <c r="C558" s="241"/>
      <c r="D558" s="241"/>
      <c r="E558" s="241"/>
    </row>
    <row r="559" spans="1:5" customFormat="1" ht="24.95" customHeight="1" x14ac:dyDescent="0.25">
      <c r="A559" s="241"/>
      <c r="B559" s="243"/>
      <c r="C559" s="241"/>
      <c r="D559" s="241"/>
      <c r="E559" s="241"/>
    </row>
    <row r="560" spans="1:5" customFormat="1" ht="24.95" customHeight="1" x14ac:dyDescent="0.25">
      <c r="A560" s="241"/>
      <c r="B560" s="243"/>
      <c r="C560" s="241"/>
      <c r="D560" s="241"/>
      <c r="E560" s="241"/>
    </row>
    <row r="561" spans="1:5" customFormat="1" ht="24.95" customHeight="1" x14ac:dyDescent="0.25">
      <c r="A561" s="241"/>
      <c r="B561" s="243"/>
      <c r="C561" s="241"/>
      <c r="D561" s="241"/>
      <c r="E561" s="241"/>
    </row>
    <row r="562" spans="1:5" customFormat="1" ht="24.95" customHeight="1" x14ac:dyDescent="0.25">
      <c r="A562" s="241"/>
      <c r="B562" s="243"/>
      <c r="C562" s="241"/>
      <c r="D562" s="241"/>
      <c r="E562" s="241"/>
    </row>
    <row r="563" spans="1:5" customFormat="1" ht="24.95" customHeight="1" x14ac:dyDescent="0.25">
      <c r="A563" s="241"/>
      <c r="B563" s="243"/>
      <c r="C563" s="241"/>
      <c r="D563" s="241"/>
      <c r="E563" s="241"/>
    </row>
    <row r="564" spans="1:5" customFormat="1" ht="24.95" customHeight="1" x14ac:dyDescent="0.25">
      <c r="A564" s="241"/>
      <c r="B564" s="243"/>
      <c r="C564" s="241"/>
      <c r="D564" s="241"/>
      <c r="E564" s="241"/>
    </row>
    <row r="565" spans="1:5" customFormat="1" ht="24.95" customHeight="1" x14ac:dyDescent="0.25">
      <c r="A565" s="241"/>
      <c r="B565" s="243"/>
      <c r="C565" s="241"/>
      <c r="D565" s="241"/>
      <c r="E565" s="241"/>
    </row>
    <row r="566" spans="1:5" customFormat="1" ht="24.95" customHeight="1" x14ac:dyDescent="0.25">
      <c r="A566" s="241"/>
      <c r="B566" s="243"/>
      <c r="C566" s="241"/>
      <c r="D566" s="241"/>
      <c r="E566" s="241"/>
    </row>
    <row r="567" spans="1:5" customFormat="1" ht="24.95" customHeight="1" x14ac:dyDescent="0.25">
      <c r="A567" s="241"/>
      <c r="B567" s="243"/>
      <c r="C567" s="241"/>
      <c r="D567" s="241"/>
      <c r="E567" s="241"/>
    </row>
    <row r="568" spans="1:5" customFormat="1" ht="24.95" customHeight="1" x14ac:dyDescent="0.25">
      <c r="A568" s="241"/>
      <c r="B568" s="243"/>
      <c r="C568" s="241"/>
      <c r="D568" s="241"/>
      <c r="E568" s="241"/>
    </row>
    <row r="569" spans="1:5" customFormat="1" ht="24.95" customHeight="1" x14ac:dyDescent="0.25">
      <c r="A569" s="241"/>
      <c r="B569" s="243"/>
      <c r="C569" s="241"/>
      <c r="D569" s="241"/>
      <c r="E569" s="241"/>
    </row>
    <row r="570" spans="1:5" customFormat="1" ht="24.95" customHeight="1" x14ac:dyDescent="0.25">
      <c r="A570" s="241"/>
      <c r="B570" s="243"/>
      <c r="C570" s="241"/>
      <c r="D570" s="241"/>
      <c r="E570" s="241"/>
    </row>
    <row r="571" spans="1:5" customFormat="1" ht="24.95" customHeight="1" x14ac:dyDescent="0.25">
      <c r="A571" s="241"/>
      <c r="B571" s="243"/>
      <c r="C571" s="241"/>
      <c r="D571" s="241"/>
      <c r="E571" s="241"/>
    </row>
    <row r="572" spans="1:5" customFormat="1" ht="24.95" customHeight="1" x14ac:dyDescent="0.25">
      <c r="A572" s="241"/>
      <c r="B572" s="243"/>
      <c r="C572" s="241"/>
      <c r="D572" s="241"/>
      <c r="E572" s="241"/>
    </row>
    <row r="573" spans="1:5" customFormat="1" ht="24.95" customHeight="1" x14ac:dyDescent="0.25">
      <c r="A573" s="241"/>
      <c r="B573" s="243"/>
      <c r="C573" s="241"/>
      <c r="D573" s="241"/>
      <c r="E573" s="241"/>
    </row>
    <row r="574" spans="1:5" customFormat="1" ht="24.95" customHeight="1" x14ac:dyDescent="0.25">
      <c r="A574" s="241"/>
      <c r="B574" s="243"/>
      <c r="C574" s="241"/>
      <c r="D574" s="241"/>
      <c r="E574" s="241"/>
    </row>
    <row r="575" spans="1:5" customFormat="1" ht="24.95" customHeight="1" x14ac:dyDescent="0.25">
      <c r="A575" s="241"/>
      <c r="B575" s="243"/>
      <c r="C575" s="241"/>
      <c r="D575" s="241"/>
      <c r="E575" s="241"/>
    </row>
    <row r="576" spans="1:5" customFormat="1" ht="24.95" customHeight="1" x14ac:dyDescent="0.25">
      <c r="A576" s="241"/>
      <c r="B576" s="243"/>
      <c r="C576" s="241"/>
      <c r="D576" s="241"/>
      <c r="E576" s="241"/>
    </row>
    <row r="577" spans="1:5" customFormat="1" ht="24.95" customHeight="1" x14ac:dyDescent="0.25">
      <c r="A577" s="241"/>
      <c r="B577" s="243"/>
      <c r="C577" s="241"/>
      <c r="D577" s="241"/>
      <c r="E577" s="241"/>
    </row>
    <row r="578" spans="1:5" customFormat="1" ht="24.95" customHeight="1" x14ac:dyDescent="0.25">
      <c r="A578" s="241"/>
      <c r="B578" s="243"/>
      <c r="C578" s="241"/>
      <c r="D578" s="241"/>
      <c r="E578" s="241"/>
    </row>
    <row r="579" spans="1:5" customFormat="1" ht="24.95" customHeight="1" x14ac:dyDescent="0.25">
      <c r="A579" s="241"/>
      <c r="B579" s="243"/>
      <c r="C579" s="241"/>
      <c r="D579" s="241"/>
      <c r="E579" s="241"/>
    </row>
    <row r="580" spans="1:5" customFormat="1" ht="24.95" customHeight="1" x14ac:dyDescent="0.25">
      <c r="A580" s="241"/>
      <c r="B580" s="243"/>
      <c r="C580" s="241"/>
      <c r="D580" s="241"/>
      <c r="E580" s="241"/>
    </row>
    <row r="581" spans="1:5" customFormat="1" ht="24.95" customHeight="1" x14ac:dyDescent="0.25">
      <c r="A581" s="241"/>
      <c r="B581" s="243"/>
      <c r="C581" s="241"/>
      <c r="D581" s="241"/>
      <c r="E581" s="241"/>
    </row>
    <row r="582" spans="1:5" customFormat="1" ht="24.95" customHeight="1" x14ac:dyDescent="0.25">
      <c r="A582" s="241"/>
      <c r="B582" s="243"/>
      <c r="C582" s="241"/>
      <c r="D582" s="241"/>
      <c r="E582" s="241"/>
    </row>
    <row r="583" spans="1:5" customFormat="1" ht="24.95" customHeight="1" x14ac:dyDescent="0.25">
      <c r="A583" s="241"/>
      <c r="B583" s="243"/>
      <c r="C583" s="241"/>
      <c r="D583" s="241"/>
      <c r="E583" s="241"/>
    </row>
    <row r="584" spans="1:5" customFormat="1" ht="24.95" customHeight="1" x14ac:dyDescent="0.25">
      <c r="A584" s="241"/>
      <c r="B584" s="243"/>
      <c r="C584" s="241"/>
      <c r="D584" s="241"/>
      <c r="E584" s="241"/>
    </row>
    <row r="585" spans="1:5" customFormat="1" ht="24.95" customHeight="1" x14ac:dyDescent="0.25">
      <c r="A585" s="241"/>
      <c r="B585" s="243"/>
      <c r="C585" s="241"/>
      <c r="D585" s="241"/>
      <c r="E585" s="241"/>
    </row>
    <row r="586" spans="1:5" customFormat="1" ht="24.95" customHeight="1" x14ac:dyDescent="0.25">
      <c r="A586" s="241"/>
      <c r="B586" s="243"/>
      <c r="C586" s="241"/>
      <c r="D586" s="241"/>
      <c r="E586" s="241"/>
    </row>
    <row r="587" spans="1:5" customFormat="1" ht="24.95" customHeight="1" x14ac:dyDescent="0.25">
      <c r="A587" s="241"/>
      <c r="B587" s="243"/>
      <c r="C587" s="241"/>
      <c r="D587" s="241"/>
      <c r="E587" s="241"/>
    </row>
    <row r="588" spans="1:5" customFormat="1" ht="24.95" customHeight="1" x14ac:dyDescent="0.25">
      <c r="A588" s="241"/>
      <c r="B588" s="243"/>
      <c r="C588" s="241"/>
      <c r="D588" s="241"/>
      <c r="E588" s="241"/>
    </row>
    <row r="589" spans="1:5" customFormat="1" ht="24.95" customHeight="1" x14ac:dyDescent="0.25">
      <c r="A589" s="241"/>
      <c r="B589" s="243"/>
      <c r="C589" s="241"/>
      <c r="D589" s="241"/>
      <c r="E589" s="241"/>
    </row>
    <row r="590" spans="1:5" customFormat="1" ht="24.95" customHeight="1" x14ac:dyDescent="0.25">
      <c r="A590" s="241"/>
      <c r="B590" s="243"/>
      <c r="C590" s="241"/>
      <c r="D590" s="241"/>
      <c r="E590" s="241"/>
    </row>
    <row r="591" spans="1:5" customFormat="1" ht="24.95" customHeight="1" x14ac:dyDescent="0.25">
      <c r="A591" s="241"/>
      <c r="B591" s="243"/>
      <c r="C591" s="241"/>
      <c r="D591" s="241"/>
      <c r="E591" s="241"/>
    </row>
    <row r="592" spans="1:5" customFormat="1" ht="24.95" customHeight="1" x14ac:dyDescent="0.25">
      <c r="A592" s="241"/>
      <c r="B592" s="243"/>
      <c r="C592" s="241"/>
      <c r="D592" s="241"/>
      <c r="E592" s="241"/>
    </row>
    <row r="593" spans="1:5" customFormat="1" ht="24.95" customHeight="1" x14ac:dyDescent="0.25">
      <c r="A593" s="241"/>
      <c r="B593" s="243"/>
      <c r="C593" s="241"/>
      <c r="D593" s="241"/>
      <c r="E593" s="241"/>
    </row>
    <row r="594" spans="1:5" customFormat="1" ht="24.95" customHeight="1" x14ac:dyDescent="0.25">
      <c r="A594" s="241"/>
      <c r="B594" s="243"/>
      <c r="C594" s="241"/>
      <c r="D594" s="241"/>
      <c r="E594" s="241"/>
    </row>
    <row r="595" spans="1:5" customFormat="1" ht="24.95" customHeight="1" x14ac:dyDescent="0.25">
      <c r="A595" s="241"/>
      <c r="B595" s="243"/>
      <c r="C595" s="241"/>
      <c r="D595" s="241"/>
      <c r="E595" s="241"/>
    </row>
    <row r="596" spans="1:5" customFormat="1" ht="24.95" customHeight="1" x14ac:dyDescent="0.25">
      <c r="A596" s="241"/>
      <c r="B596" s="243"/>
      <c r="C596" s="241"/>
      <c r="D596" s="241"/>
      <c r="E596" s="241"/>
    </row>
    <row r="597" spans="1:5" customFormat="1" ht="24.95" customHeight="1" x14ac:dyDescent="0.25">
      <c r="A597" s="241"/>
      <c r="B597" s="243"/>
      <c r="C597" s="241"/>
      <c r="D597" s="241"/>
      <c r="E597" s="241"/>
    </row>
    <row r="598" spans="1:5" customFormat="1" ht="24.95" customHeight="1" x14ac:dyDescent="0.25">
      <c r="A598" s="241"/>
      <c r="B598" s="243"/>
      <c r="C598" s="241"/>
      <c r="D598" s="241"/>
      <c r="E598" s="241"/>
    </row>
    <row r="599" spans="1:5" customFormat="1" ht="24.95" customHeight="1" x14ac:dyDescent="0.25">
      <c r="A599" s="241"/>
      <c r="B599" s="243"/>
      <c r="C599" s="241"/>
      <c r="D599" s="241"/>
      <c r="E599" s="241"/>
    </row>
    <row r="600" spans="1:5" customFormat="1" ht="24.95" customHeight="1" x14ac:dyDescent="0.25">
      <c r="A600" s="241"/>
      <c r="B600" s="243"/>
      <c r="C600" s="241"/>
      <c r="D600" s="241"/>
      <c r="E600" s="241"/>
    </row>
    <row r="601" spans="1:5" customFormat="1" ht="24.95" customHeight="1" x14ac:dyDescent="0.25">
      <c r="A601" s="241"/>
      <c r="B601" s="243"/>
      <c r="C601" s="241"/>
      <c r="D601" s="241"/>
      <c r="E601" s="241"/>
    </row>
    <row r="602" spans="1:5" customFormat="1" ht="24.95" customHeight="1" x14ac:dyDescent="0.25">
      <c r="A602" s="241"/>
      <c r="B602" s="243"/>
      <c r="C602" s="241"/>
      <c r="D602" s="241"/>
      <c r="E602" s="241"/>
    </row>
    <row r="603" spans="1:5" customFormat="1" ht="24.95" customHeight="1" x14ac:dyDescent="0.25">
      <c r="A603" s="241"/>
      <c r="B603" s="243"/>
      <c r="C603" s="241"/>
      <c r="D603" s="241"/>
      <c r="E603" s="241"/>
    </row>
    <row r="604" spans="1:5" customFormat="1" ht="24.95" customHeight="1" x14ac:dyDescent="0.25">
      <c r="A604" s="241"/>
      <c r="B604" s="243"/>
      <c r="C604" s="241"/>
      <c r="D604" s="241"/>
      <c r="E604" s="241"/>
    </row>
    <row r="605" spans="1:5" customFormat="1" ht="24.95" customHeight="1" x14ac:dyDescent="0.25">
      <c r="A605" s="241"/>
      <c r="B605" s="243"/>
      <c r="C605" s="241"/>
      <c r="D605" s="241"/>
      <c r="E605" s="241"/>
    </row>
    <row r="606" spans="1:5" customFormat="1" ht="24.95" customHeight="1" x14ac:dyDescent="0.25">
      <c r="A606" s="241"/>
      <c r="B606" s="243"/>
      <c r="C606" s="241"/>
      <c r="D606" s="241"/>
      <c r="E606" s="241"/>
    </row>
    <row r="607" spans="1:5" customFormat="1" ht="24.95" customHeight="1" x14ac:dyDescent="0.25">
      <c r="A607" s="241"/>
      <c r="B607" s="243"/>
      <c r="C607" s="241"/>
      <c r="D607" s="241"/>
      <c r="E607" s="241"/>
    </row>
    <row r="608" spans="1:5" customFormat="1" ht="24.95" customHeight="1" x14ac:dyDescent="0.25">
      <c r="A608" s="241"/>
      <c r="B608" s="243"/>
      <c r="C608" s="241"/>
      <c r="D608" s="241"/>
      <c r="E608" s="241"/>
    </row>
    <row r="609" spans="1:5" customFormat="1" ht="24.95" customHeight="1" x14ac:dyDescent="0.25">
      <c r="A609" s="241"/>
      <c r="B609" s="243"/>
      <c r="C609" s="241"/>
      <c r="D609" s="241"/>
      <c r="E609" s="241"/>
    </row>
    <row r="610" spans="1:5" customFormat="1" ht="24.95" customHeight="1" x14ac:dyDescent="0.25">
      <c r="A610" s="241"/>
      <c r="B610" s="243"/>
      <c r="C610" s="241"/>
      <c r="D610" s="241"/>
      <c r="E610" s="241"/>
    </row>
    <row r="611" spans="1:5" customFormat="1" ht="24.95" customHeight="1" x14ac:dyDescent="0.25">
      <c r="A611" s="241"/>
      <c r="B611" s="243"/>
      <c r="C611" s="241"/>
      <c r="D611" s="241"/>
      <c r="E611" s="241"/>
    </row>
    <row r="612" spans="1:5" customFormat="1" ht="24.95" customHeight="1" x14ac:dyDescent="0.25">
      <c r="A612" s="241"/>
      <c r="B612" s="243"/>
      <c r="C612" s="241"/>
      <c r="D612" s="241"/>
      <c r="E612" s="241"/>
    </row>
    <row r="613" spans="1:5" customFormat="1" ht="24.95" customHeight="1" x14ac:dyDescent="0.25">
      <c r="A613" s="241"/>
      <c r="B613" s="243"/>
      <c r="C613" s="241"/>
      <c r="D613" s="241"/>
      <c r="E613" s="241"/>
    </row>
    <row r="614" spans="1:5" customFormat="1" ht="24.95" customHeight="1" x14ac:dyDescent="0.25">
      <c r="A614" s="241"/>
      <c r="B614" s="243"/>
      <c r="C614" s="241"/>
      <c r="D614" s="241"/>
      <c r="E614" s="241"/>
    </row>
    <row r="615" spans="1:5" customFormat="1" ht="24.95" customHeight="1" x14ac:dyDescent="0.25">
      <c r="A615" s="241"/>
      <c r="B615" s="243"/>
      <c r="C615" s="241"/>
      <c r="D615" s="241"/>
      <c r="E615" s="241"/>
    </row>
    <row r="616" spans="1:5" customFormat="1" ht="24.95" customHeight="1" x14ac:dyDescent="0.25">
      <c r="A616" s="241"/>
      <c r="B616" s="243"/>
      <c r="C616" s="241"/>
      <c r="D616" s="241"/>
      <c r="E616" s="241"/>
    </row>
    <row r="617" spans="1:5" customFormat="1" ht="24.95" customHeight="1" x14ac:dyDescent="0.25">
      <c r="A617" s="241"/>
      <c r="B617" s="243"/>
      <c r="C617" s="241"/>
      <c r="D617" s="241"/>
      <c r="E617" s="241"/>
    </row>
    <row r="618" spans="1:5" customFormat="1" ht="24.95" customHeight="1" x14ac:dyDescent="0.25">
      <c r="A618" s="241"/>
      <c r="B618" s="243"/>
      <c r="C618" s="241"/>
      <c r="D618" s="241"/>
      <c r="E618" s="241"/>
    </row>
    <row r="619" spans="1:5" customFormat="1" ht="24.95" customHeight="1" x14ac:dyDescent="0.25">
      <c r="A619" s="241"/>
      <c r="B619" s="243"/>
      <c r="C619" s="241"/>
      <c r="D619" s="241"/>
      <c r="E619" s="241"/>
    </row>
    <row r="620" spans="1:5" customFormat="1" ht="24.95" customHeight="1" x14ac:dyDescent="0.25">
      <c r="A620" s="241"/>
      <c r="B620" s="243"/>
      <c r="C620" s="241"/>
      <c r="D620" s="241"/>
      <c r="E620" s="241"/>
    </row>
    <row r="621" spans="1:5" customFormat="1" ht="24.95" customHeight="1" x14ac:dyDescent="0.25">
      <c r="A621" s="241"/>
      <c r="B621" s="243"/>
      <c r="C621" s="241"/>
      <c r="D621" s="241"/>
      <c r="E621" s="241"/>
    </row>
    <row r="622" spans="1:5" customFormat="1" ht="24.95" customHeight="1" x14ac:dyDescent="0.25">
      <c r="A622" s="241"/>
      <c r="B622" s="243"/>
      <c r="C622" s="241"/>
      <c r="D622" s="241"/>
      <c r="E622" s="241"/>
    </row>
    <row r="623" spans="1:5" customFormat="1" ht="24.95" customHeight="1" x14ac:dyDescent="0.25">
      <c r="A623" s="241"/>
      <c r="B623" s="243"/>
      <c r="C623" s="241"/>
      <c r="D623" s="241"/>
      <c r="E623" s="241"/>
    </row>
    <row r="624" spans="1:5" customFormat="1" ht="24.95" customHeight="1" x14ac:dyDescent="0.25">
      <c r="A624" s="241"/>
      <c r="B624" s="243"/>
      <c r="C624" s="241"/>
      <c r="D624" s="241"/>
      <c r="E624" s="241"/>
    </row>
    <row r="625" spans="1:5" customFormat="1" ht="24.95" customHeight="1" x14ac:dyDescent="0.25">
      <c r="A625" s="241"/>
      <c r="B625" s="243"/>
      <c r="C625" s="241"/>
      <c r="D625" s="241"/>
      <c r="E625" s="241"/>
    </row>
    <row r="626" spans="1:5" customFormat="1" ht="24.95" customHeight="1" x14ac:dyDescent="0.25">
      <c r="A626" s="241"/>
      <c r="B626" s="243"/>
      <c r="C626" s="241"/>
      <c r="D626" s="241"/>
      <c r="E626" s="241"/>
    </row>
    <row r="627" spans="1:5" customFormat="1" ht="24.95" customHeight="1" x14ac:dyDescent="0.25">
      <c r="A627" s="241"/>
      <c r="B627" s="243"/>
      <c r="C627" s="241"/>
      <c r="D627" s="241"/>
      <c r="E627" s="241"/>
    </row>
    <row r="628" spans="1:5" customFormat="1" ht="24.95" customHeight="1" x14ac:dyDescent="0.25">
      <c r="A628" s="241"/>
      <c r="B628" s="243"/>
      <c r="C628" s="241"/>
      <c r="D628" s="241"/>
      <c r="E628" s="241"/>
    </row>
    <row r="629" spans="1:5" customFormat="1" ht="24.95" customHeight="1" x14ac:dyDescent="0.25">
      <c r="A629" s="241"/>
      <c r="B629" s="243"/>
      <c r="C629" s="241"/>
      <c r="D629" s="241"/>
      <c r="E629" s="241"/>
    </row>
    <row r="630" spans="1:5" customFormat="1" ht="24.95" customHeight="1" x14ac:dyDescent="0.25">
      <c r="A630" s="241"/>
      <c r="B630" s="243"/>
      <c r="C630" s="241"/>
      <c r="D630" s="241"/>
      <c r="E630" s="241"/>
    </row>
    <row r="631" spans="1:5" customFormat="1" ht="24.95" customHeight="1" x14ac:dyDescent="0.25">
      <c r="A631" s="241"/>
      <c r="B631" s="243"/>
      <c r="C631" s="241"/>
      <c r="D631" s="241"/>
      <c r="E631" s="241"/>
    </row>
    <row r="632" spans="1:5" customFormat="1" ht="24.95" customHeight="1" x14ac:dyDescent="0.25">
      <c r="A632" s="241"/>
      <c r="B632" s="243"/>
      <c r="C632" s="241"/>
      <c r="D632" s="241"/>
      <c r="E632" s="241"/>
    </row>
    <row r="633" spans="1:5" customFormat="1" ht="24.95" customHeight="1" x14ac:dyDescent="0.25">
      <c r="A633" s="241"/>
      <c r="B633" s="243"/>
      <c r="C633" s="241"/>
      <c r="D633" s="241"/>
      <c r="E633" s="241"/>
    </row>
    <row r="634" spans="1:5" customFormat="1" ht="24.95" customHeight="1" x14ac:dyDescent="0.25">
      <c r="A634" s="241"/>
      <c r="B634" s="243"/>
      <c r="C634" s="241"/>
      <c r="D634" s="241"/>
      <c r="E634" s="241"/>
    </row>
    <row r="635" spans="1:5" customFormat="1" ht="24.95" customHeight="1" x14ac:dyDescent="0.25">
      <c r="A635" s="241"/>
      <c r="B635" s="243"/>
      <c r="C635" s="241"/>
      <c r="D635" s="241"/>
      <c r="E635" s="241"/>
    </row>
    <row r="636" spans="1:5" customFormat="1" ht="24.95" customHeight="1" x14ac:dyDescent="0.25">
      <c r="A636" s="241"/>
      <c r="B636" s="243"/>
      <c r="C636" s="241"/>
      <c r="D636" s="241"/>
      <c r="E636" s="241"/>
    </row>
    <row r="637" spans="1:5" customFormat="1" ht="24.95" customHeight="1" x14ac:dyDescent="0.25">
      <c r="A637" s="241"/>
      <c r="B637" s="243"/>
      <c r="C637" s="241"/>
      <c r="D637" s="241"/>
      <c r="E637" s="241"/>
    </row>
    <row r="638" spans="1:5" customFormat="1" ht="24.95" customHeight="1" x14ac:dyDescent="0.25">
      <c r="A638" s="241"/>
      <c r="B638" s="243"/>
      <c r="C638" s="241"/>
      <c r="D638" s="241"/>
      <c r="E638" s="241"/>
    </row>
    <row r="639" spans="1:5" customFormat="1" ht="24.95" customHeight="1" x14ac:dyDescent="0.25">
      <c r="A639" s="241"/>
      <c r="B639" s="243"/>
      <c r="C639" s="241"/>
      <c r="D639" s="241"/>
      <c r="E639" s="241"/>
    </row>
    <row r="640" spans="1:5" customFormat="1" ht="24.95" customHeight="1" x14ac:dyDescent="0.25">
      <c r="A640" s="241"/>
      <c r="B640" s="243"/>
      <c r="C640" s="241"/>
      <c r="D640" s="241"/>
      <c r="E640" s="241"/>
    </row>
    <row r="641" spans="1:5" customFormat="1" ht="24.95" customHeight="1" x14ac:dyDescent="0.25">
      <c r="A641" s="241"/>
      <c r="B641" s="243"/>
      <c r="C641" s="241"/>
      <c r="D641" s="241"/>
      <c r="E641" s="241"/>
    </row>
    <row r="642" spans="1:5" customFormat="1" ht="24.95" customHeight="1" x14ac:dyDescent="0.25">
      <c r="A642" s="241"/>
      <c r="B642" s="243"/>
      <c r="C642" s="241"/>
      <c r="D642" s="241"/>
      <c r="E642" s="241"/>
    </row>
    <row r="643" spans="1:5" customFormat="1" ht="24.95" customHeight="1" x14ac:dyDescent="0.25">
      <c r="A643" s="241"/>
      <c r="B643" s="243"/>
      <c r="C643" s="241"/>
      <c r="D643" s="241"/>
      <c r="E643" s="241"/>
    </row>
    <row r="644" spans="1:5" customFormat="1" ht="24.95" customHeight="1" x14ac:dyDescent="0.25">
      <c r="A644" s="241"/>
      <c r="B644" s="243"/>
      <c r="C644" s="241"/>
      <c r="D644" s="241"/>
      <c r="E644" s="241"/>
    </row>
    <row r="645" spans="1:5" customFormat="1" ht="24.95" customHeight="1" x14ac:dyDescent="0.25">
      <c r="A645" s="241"/>
      <c r="B645" s="243"/>
      <c r="C645" s="241"/>
      <c r="D645" s="241"/>
      <c r="E645" s="241"/>
    </row>
    <row r="646" spans="1:5" customFormat="1" ht="24.95" customHeight="1" x14ac:dyDescent="0.25">
      <c r="A646" s="241"/>
      <c r="B646" s="243"/>
      <c r="C646" s="241"/>
      <c r="D646" s="241"/>
      <c r="E646" s="241"/>
    </row>
    <row r="647" spans="1:5" customFormat="1" ht="24.95" customHeight="1" x14ac:dyDescent="0.25">
      <c r="A647" s="241"/>
      <c r="B647" s="243"/>
      <c r="C647" s="241"/>
      <c r="D647" s="241"/>
      <c r="E647" s="241"/>
    </row>
    <row r="648" spans="1:5" customFormat="1" ht="24.95" customHeight="1" x14ac:dyDescent="0.25">
      <c r="A648" s="241"/>
      <c r="B648" s="243"/>
      <c r="C648" s="241"/>
      <c r="D648" s="241"/>
      <c r="E648" s="241"/>
    </row>
    <row r="649" spans="1:5" customFormat="1" ht="24.95" customHeight="1" x14ac:dyDescent="0.25">
      <c r="A649" s="241"/>
      <c r="B649" s="243"/>
      <c r="C649" s="241"/>
      <c r="D649" s="241"/>
      <c r="E649" s="241"/>
    </row>
    <row r="650" spans="1:5" customFormat="1" ht="24.95" customHeight="1" x14ac:dyDescent="0.25">
      <c r="A650" s="241"/>
      <c r="B650" s="243"/>
      <c r="C650" s="241"/>
      <c r="D650" s="241"/>
      <c r="E650" s="241"/>
    </row>
    <row r="651" spans="1:5" customFormat="1" ht="24.95" customHeight="1" x14ac:dyDescent="0.25">
      <c r="A651" s="241"/>
      <c r="B651" s="243"/>
      <c r="C651" s="241"/>
      <c r="D651" s="241"/>
      <c r="E651" s="241"/>
    </row>
    <row r="652" spans="1:5" customFormat="1" ht="24.95" customHeight="1" x14ac:dyDescent="0.25">
      <c r="A652" s="241"/>
      <c r="B652" s="243"/>
      <c r="C652" s="241"/>
      <c r="D652" s="241"/>
      <c r="E652" s="241"/>
    </row>
    <row r="653" spans="1:5" customFormat="1" ht="24.95" customHeight="1" x14ac:dyDescent="0.25">
      <c r="A653" s="241"/>
      <c r="B653" s="243"/>
      <c r="C653" s="241"/>
      <c r="D653" s="241"/>
      <c r="E653" s="241"/>
    </row>
    <row r="654" spans="1:5" customFormat="1" ht="24.95" customHeight="1" x14ac:dyDescent="0.25">
      <c r="A654" s="241"/>
      <c r="B654" s="243"/>
      <c r="C654" s="241"/>
      <c r="D654" s="241"/>
      <c r="E654" s="241"/>
    </row>
    <row r="655" spans="1:5" customFormat="1" ht="24.95" customHeight="1" x14ac:dyDescent="0.25">
      <c r="A655" s="241"/>
      <c r="B655" s="243"/>
      <c r="C655" s="241"/>
      <c r="D655" s="241"/>
      <c r="E655" s="241"/>
    </row>
    <row r="656" spans="1:5" customFormat="1" ht="24.95" customHeight="1" x14ac:dyDescent="0.25">
      <c r="A656" s="241"/>
      <c r="B656" s="243"/>
      <c r="C656" s="241"/>
      <c r="D656" s="241"/>
      <c r="E656" s="241"/>
    </row>
    <row r="657" spans="1:5" customFormat="1" ht="24.95" customHeight="1" x14ac:dyDescent="0.25">
      <c r="A657" s="241"/>
      <c r="B657" s="243"/>
      <c r="C657" s="241"/>
      <c r="D657" s="241"/>
      <c r="E657" s="241"/>
    </row>
    <row r="658" spans="1:5" customFormat="1" ht="24.95" customHeight="1" x14ac:dyDescent="0.25">
      <c r="A658" s="241"/>
      <c r="B658" s="243"/>
      <c r="C658" s="241"/>
      <c r="D658" s="241"/>
      <c r="E658" s="241"/>
    </row>
    <row r="659" spans="1:5" customFormat="1" ht="24.95" customHeight="1" x14ac:dyDescent="0.25">
      <c r="A659" s="241"/>
      <c r="B659" s="243"/>
      <c r="C659" s="241"/>
      <c r="D659" s="241"/>
      <c r="E659" s="241"/>
    </row>
    <row r="660" spans="1:5" customFormat="1" ht="24.95" customHeight="1" x14ac:dyDescent="0.25">
      <c r="A660" s="241"/>
      <c r="B660" s="243"/>
      <c r="C660" s="241"/>
      <c r="D660" s="241"/>
      <c r="E660" s="241"/>
    </row>
    <row r="661" spans="1:5" customFormat="1" ht="24.95" customHeight="1" x14ac:dyDescent="0.25">
      <c r="A661" s="241"/>
      <c r="B661" s="243"/>
      <c r="C661" s="241"/>
      <c r="D661" s="241"/>
      <c r="E661" s="241"/>
    </row>
    <row r="662" spans="1:5" customFormat="1" ht="24.95" customHeight="1" x14ac:dyDescent="0.25">
      <c r="A662" s="241"/>
      <c r="B662" s="243"/>
      <c r="C662" s="241"/>
      <c r="D662" s="241"/>
      <c r="E662" s="241"/>
    </row>
    <row r="663" spans="1:5" customFormat="1" ht="24.95" customHeight="1" x14ac:dyDescent="0.25">
      <c r="A663" s="241"/>
      <c r="B663" s="243"/>
      <c r="C663" s="241"/>
      <c r="D663" s="241"/>
      <c r="E663" s="241"/>
    </row>
    <row r="664" spans="1:5" customFormat="1" ht="24.95" customHeight="1" x14ac:dyDescent="0.25">
      <c r="A664" s="241"/>
      <c r="B664" s="243"/>
      <c r="C664" s="241"/>
      <c r="D664" s="241"/>
      <c r="E664" s="241"/>
    </row>
    <row r="665" spans="1:5" customFormat="1" ht="24.95" customHeight="1" x14ac:dyDescent="0.25">
      <c r="A665" s="241"/>
      <c r="B665" s="243"/>
      <c r="C665" s="241"/>
      <c r="D665" s="241"/>
      <c r="E665" s="241"/>
    </row>
    <row r="666" spans="1:5" customFormat="1" ht="24.95" customHeight="1" x14ac:dyDescent="0.25">
      <c r="A666" s="241"/>
      <c r="B666" s="243"/>
      <c r="C666" s="241"/>
      <c r="D666" s="241"/>
      <c r="E666" s="241"/>
    </row>
    <row r="667" spans="1:5" customFormat="1" ht="24.95" customHeight="1" x14ac:dyDescent="0.25">
      <c r="A667" s="241"/>
      <c r="B667" s="243"/>
      <c r="C667" s="241"/>
      <c r="D667" s="241"/>
      <c r="E667" s="241"/>
    </row>
    <row r="668" spans="1:5" customFormat="1" ht="24.95" customHeight="1" x14ac:dyDescent="0.25">
      <c r="A668" s="241"/>
      <c r="B668" s="243"/>
      <c r="C668" s="241"/>
      <c r="D668" s="241"/>
      <c r="E668" s="241"/>
    </row>
    <row r="669" spans="1:5" customFormat="1" ht="24.95" customHeight="1" x14ac:dyDescent="0.25">
      <c r="A669" s="241"/>
      <c r="B669" s="243"/>
      <c r="C669" s="241"/>
      <c r="D669" s="241"/>
      <c r="E669" s="241"/>
    </row>
    <row r="670" spans="1:5" customFormat="1" ht="24.95" customHeight="1" x14ac:dyDescent="0.25">
      <c r="A670" s="241"/>
      <c r="B670" s="243"/>
      <c r="C670" s="241"/>
      <c r="D670" s="241"/>
      <c r="E670" s="241"/>
    </row>
    <row r="671" spans="1:5" customFormat="1" ht="24.95" customHeight="1" x14ac:dyDescent="0.25">
      <c r="A671" s="241"/>
      <c r="B671" s="243"/>
      <c r="C671" s="241"/>
      <c r="D671" s="241"/>
      <c r="E671" s="241"/>
    </row>
    <row r="672" spans="1:5" customFormat="1" ht="24.95" customHeight="1" x14ac:dyDescent="0.25">
      <c r="A672" s="241"/>
      <c r="B672" s="243"/>
      <c r="C672" s="241"/>
      <c r="D672" s="241"/>
      <c r="E672" s="241"/>
    </row>
    <row r="673" spans="1:5" customFormat="1" ht="24.95" customHeight="1" x14ac:dyDescent="0.25">
      <c r="A673" s="241"/>
      <c r="B673" s="243"/>
      <c r="C673" s="241"/>
      <c r="D673" s="241"/>
      <c r="E673" s="241"/>
    </row>
    <row r="674" spans="1:5" customFormat="1" ht="24.95" customHeight="1" x14ac:dyDescent="0.25">
      <c r="A674" s="241"/>
      <c r="B674" s="243"/>
      <c r="C674" s="241"/>
      <c r="D674" s="241"/>
      <c r="E674" s="241"/>
    </row>
    <row r="675" spans="1:5" customFormat="1" ht="24.95" customHeight="1" x14ac:dyDescent="0.25">
      <c r="A675" s="241"/>
      <c r="B675" s="243"/>
      <c r="C675" s="241"/>
      <c r="D675" s="241"/>
      <c r="E675" s="241"/>
    </row>
    <row r="676" spans="1:5" customFormat="1" ht="24.95" customHeight="1" x14ac:dyDescent="0.25">
      <c r="A676" s="241"/>
      <c r="B676" s="243"/>
      <c r="C676" s="241"/>
      <c r="D676" s="241"/>
      <c r="E676" s="241"/>
    </row>
    <row r="677" spans="1:5" customFormat="1" ht="24.95" customHeight="1" x14ac:dyDescent="0.25">
      <c r="A677" s="241"/>
      <c r="B677" s="243"/>
      <c r="C677" s="241"/>
      <c r="D677" s="241"/>
      <c r="E677" s="241"/>
    </row>
    <row r="678" spans="1:5" customFormat="1" ht="24.95" customHeight="1" x14ac:dyDescent="0.25">
      <c r="A678" s="241"/>
      <c r="B678" s="243"/>
      <c r="C678" s="241"/>
      <c r="D678" s="241"/>
      <c r="E678" s="241"/>
    </row>
    <row r="679" spans="1:5" customFormat="1" ht="24.95" customHeight="1" x14ac:dyDescent="0.25">
      <c r="A679" s="241"/>
      <c r="B679" s="243"/>
      <c r="C679" s="241"/>
      <c r="D679" s="241"/>
      <c r="E679" s="241"/>
    </row>
    <row r="680" spans="1:5" customFormat="1" ht="24.95" customHeight="1" x14ac:dyDescent="0.25">
      <c r="A680" s="241"/>
      <c r="B680" s="243"/>
      <c r="C680" s="241"/>
      <c r="D680" s="241"/>
      <c r="E680" s="241"/>
    </row>
    <row r="681" spans="1:5" customFormat="1" ht="24.95" customHeight="1" x14ac:dyDescent="0.25">
      <c r="A681" s="241"/>
      <c r="B681" s="243"/>
      <c r="C681" s="241"/>
      <c r="D681" s="241"/>
      <c r="E681" s="241"/>
    </row>
    <row r="682" spans="1:5" customFormat="1" ht="24.95" customHeight="1" x14ac:dyDescent="0.25">
      <c r="A682" s="241"/>
      <c r="B682" s="243"/>
      <c r="C682" s="241"/>
      <c r="D682" s="241"/>
      <c r="E682" s="241"/>
    </row>
    <row r="683" spans="1:5" customFormat="1" ht="24.95" customHeight="1" x14ac:dyDescent="0.25">
      <c r="A683" s="241"/>
      <c r="B683" s="243"/>
      <c r="C683" s="241"/>
      <c r="D683" s="241"/>
      <c r="E683" s="241"/>
    </row>
    <row r="684" spans="1:5" customFormat="1" ht="24.95" customHeight="1" x14ac:dyDescent="0.25">
      <c r="A684" s="241"/>
      <c r="B684" s="243"/>
      <c r="C684" s="241"/>
      <c r="D684" s="241"/>
      <c r="E684" s="241"/>
    </row>
    <row r="685" spans="1:5" customFormat="1" ht="24.95" customHeight="1" x14ac:dyDescent="0.25">
      <c r="A685" s="241"/>
      <c r="B685" s="243"/>
      <c r="C685" s="241"/>
      <c r="D685" s="241"/>
      <c r="E685" s="241"/>
    </row>
    <row r="686" spans="1:5" customFormat="1" ht="24.95" customHeight="1" x14ac:dyDescent="0.25">
      <c r="A686" s="241"/>
      <c r="B686" s="243"/>
      <c r="C686" s="241"/>
      <c r="D686" s="241"/>
      <c r="E686" s="241"/>
    </row>
    <row r="687" spans="1:5" customFormat="1" ht="24.95" customHeight="1" x14ac:dyDescent="0.25">
      <c r="A687" s="241"/>
      <c r="B687" s="243"/>
      <c r="C687" s="241"/>
      <c r="D687" s="241"/>
      <c r="E687" s="241"/>
    </row>
    <row r="688" spans="1:5" customFormat="1" ht="24.95" customHeight="1" x14ac:dyDescent="0.25">
      <c r="A688" s="241"/>
      <c r="B688" s="243"/>
      <c r="C688" s="241"/>
      <c r="D688" s="241"/>
      <c r="E688" s="241"/>
    </row>
    <row r="689" spans="1:5" customFormat="1" ht="24.95" customHeight="1" x14ac:dyDescent="0.25">
      <c r="A689" s="241"/>
      <c r="B689" s="243"/>
      <c r="C689" s="241"/>
      <c r="D689" s="241"/>
      <c r="E689" s="241"/>
    </row>
    <row r="690" spans="1:5" customFormat="1" ht="24.95" customHeight="1" x14ac:dyDescent="0.25">
      <c r="A690" s="241"/>
      <c r="B690" s="243"/>
      <c r="C690" s="241"/>
      <c r="D690" s="241"/>
      <c r="E690" s="241"/>
    </row>
    <row r="691" spans="1:5" customFormat="1" ht="24.95" customHeight="1" x14ac:dyDescent="0.25">
      <c r="A691" s="241"/>
      <c r="B691" s="243"/>
      <c r="C691" s="241"/>
      <c r="D691" s="241"/>
      <c r="E691" s="241"/>
    </row>
    <row r="692" spans="1:5" customFormat="1" ht="24.95" customHeight="1" x14ac:dyDescent="0.25">
      <c r="A692" s="241"/>
      <c r="B692" s="243"/>
      <c r="C692" s="241"/>
      <c r="D692" s="241"/>
      <c r="E692" s="241"/>
    </row>
    <row r="693" spans="1:5" customFormat="1" ht="24.95" customHeight="1" x14ac:dyDescent="0.25">
      <c r="A693" s="241"/>
      <c r="B693" s="243"/>
      <c r="C693" s="241"/>
      <c r="D693" s="241"/>
      <c r="E693" s="241"/>
    </row>
    <row r="694" spans="1:5" customFormat="1" ht="24.95" customHeight="1" x14ac:dyDescent="0.25">
      <c r="A694" s="241"/>
      <c r="B694" s="243"/>
      <c r="C694" s="241"/>
      <c r="D694" s="241"/>
      <c r="E694" s="241"/>
    </row>
    <row r="695" spans="1:5" customFormat="1" ht="24.95" customHeight="1" x14ac:dyDescent="0.25">
      <c r="A695" s="241"/>
      <c r="B695" s="243"/>
      <c r="C695" s="241"/>
      <c r="D695" s="241"/>
      <c r="E695" s="241"/>
    </row>
    <row r="696" spans="1:5" customFormat="1" ht="24.95" customHeight="1" x14ac:dyDescent="0.25">
      <c r="A696" s="241"/>
      <c r="B696" s="243"/>
      <c r="C696" s="241"/>
      <c r="D696" s="241"/>
      <c r="E696" s="241"/>
    </row>
    <row r="697" spans="1:5" customFormat="1" ht="24.95" customHeight="1" x14ac:dyDescent="0.25">
      <c r="A697" s="241"/>
      <c r="B697" s="243"/>
      <c r="C697" s="241"/>
      <c r="D697" s="241"/>
      <c r="E697" s="241"/>
    </row>
    <row r="698" spans="1:5" customFormat="1" ht="24.95" customHeight="1" x14ac:dyDescent="0.25">
      <c r="A698" s="241"/>
      <c r="B698" s="243"/>
      <c r="C698" s="241"/>
      <c r="D698" s="241"/>
      <c r="E698" s="241"/>
    </row>
    <row r="699" spans="1:5" customFormat="1" ht="24.95" customHeight="1" x14ac:dyDescent="0.25">
      <c r="A699" s="241"/>
      <c r="B699" s="243"/>
      <c r="C699" s="241"/>
      <c r="D699" s="241"/>
      <c r="E699" s="241"/>
    </row>
    <row r="700" spans="1:5" customFormat="1" ht="24.95" customHeight="1" x14ac:dyDescent="0.25">
      <c r="A700" s="241"/>
      <c r="B700" s="243"/>
      <c r="C700" s="241"/>
      <c r="D700" s="241"/>
      <c r="E700" s="241"/>
    </row>
    <row r="701" spans="1:5" customFormat="1" ht="24.95" customHeight="1" x14ac:dyDescent="0.25">
      <c r="A701" s="241"/>
      <c r="B701" s="243"/>
      <c r="C701" s="241"/>
      <c r="D701" s="241"/>
      <c r="E701" s="241"/>
    </row>
    <row r="702" spans="1:5" customFormat="1" ht="24.95" customHeight="1" x14ac:dyDescent="0.25">
      <c r="A702" s="241"/>
      <c r="B702" s="243"/>
      <c r="C702" s="241"/>
      <c r="D702" s="241"/>
      <c r="E702" s="241"/>
    </row>
    <row r="703" spans="1:5" customFormat="1" ht="24.95" customHeight="1" x14ac:dyDescent="0.25">
      <c r="A703" s="241"/>
      <c r="B703" s="243"/>
      <c r="C703" s="241"/>
      <c r="D703" s="241"/>
      <c r="E703" s="241"/>
    </row>
    <row r="704" spans="1:5" customFormat="1" ht="24.95" customHeight="1" x14ac:dyDescent="0.25">
      <c r="A704" s="241"/>
      <c r="B704" s="243"/>
      <c r="C704" s="241"/>
      <c r="D704" s="241"/>
      <c r="E704" s="241"/>
    </row>
    <row r="705" spans="1:5" customFormat="1" ht="24.95" customHeight="1" x14ac:dyDescent="0.25">
      <c r="A705" s="241"/>
      <c r="B705" s="243"/>
      <c r="C705" s="241"/>
      <c r="D705" s="241"/>
      <c r="E705" s="241"/>
    </row>
    <row r="706" spans="1:5" customFormat="1" ht="24.95" customHeight="1" x14ac:dyDescent="0.25">
      <c r="A706" s="241"/>
      <c r="B706" s="243"/>
      <c r="C706" s="241"/>
      <c r="D706" s="241"/>
      <c r="E706" s="241"/>
    </row>
    <row r="707" spans="1:5" customFormat="1" ht="24.95" customHeight="1" x14ac:dyDescent="0.25">
      <c r="A707" s="241"/>
      <c r="B707" s="243"/>
      <c r="C707" s="241"/>
      <c r="D707" s="241"/>
      <c r="E707" s="241"/>
    </row>
    <row r="708" spans="1:5" customFormat="1" ht="24.95" customHeight="1" x14ac:dyDescent="0.25">
      <c r="A708" s="241"/>
      <c r="B708" s="243"/>
      <c r="C708" s="241"/>
      <c r="D708" s="241"/>
      <c r="E708" s="241"/>
    </row>
    <row r="709" spans="1:5" customFormat="1" ht="24.95" customHeight="1" x14ac:dyDescent="0.25">
      <c r="A709" s="241"/>
      <c r="B709" s="243"/>
      <c r="C709" s="241"/>
      <c r="D709" s="241"/>
      <c r="E709" s="241"/>
    </row>
    <row r="710" spans="1:5" customFormat="1" ht="24.95" customHeight="1" x14ac:dyDescent="0.25">
      <c r="A710" s="241"/>
      <c r="B710" s="243"/>
      <c r="C710" s="241"/>
      <c r="D710" s="241"/>
      <c r="E710" s="241"/>
    </row>
    <row r="711" spans="1:5" customFormat="1" ht="24.95" customHeight="1" x14ac:dyDescent="0.25">
      <c r="A711" s="241"/>
      <c r="B711" s="243"/>
      <c r="C711" s="241"/>
      <c r="D711" s="241"/>
      <c r="E711" s="241"/>
    </row>
    <row r="712" spans="1:5" customFormat="1" ht="24.95" customHeight="1" x14ac:dyDescent="0.25">
      <c r="A712" s="241"/>
      <c r="B712" s="243"/>
      <c r="C712" s="241"/>
      <c r="D712" s="241"/>
      <c r="E712" s="241"/>
    </row>
    <row r="713" spans="1:5" customFormat="1" ht="24.95" customHeight="1" x14ac:dyDescent="0.25">
      <c r="A713" s="241"/>
      <c r="B713" s="243"/>
      <c r="C713" s="241"/>
      <c r="D713" s="241"/>
      <c r="E713" s="241"/>
    </row>
    <row r="714" spans="1:5" customFormat="1" ht="24.95" customHeight="1" x14ac:dyDescent="0.25">
      <c r="A714" s="241"/>
      <c r="B714" s="243"/>
      <c r="C714" s="241"/>
      <c r="D714" s="241"/>
      <c r="E714" s="241"/>
    </row>
    <row r="715" spans="1:5" customFormat="1" ht="24.95" customHeight="1" x14ac:dyDescent="0.25">
      <c r="A715" s="241"/>
      <c r="B715" s="243"/>
      <c r="C715" s="241"/>
      <c r="D715" s="241"/>
      <c r="E715" s="241"/>
    </row>
    <row r="716" spans="1:5" customFormat="1" ht="24.95" customHeight="1" x14ac:dyDescent="0.25">
      <c r="A716" s="241"/>
      <c r="B716" s="243"/>
      <c r="C716" s="241"/>
      <c r="D716" s="241"/>
      <c r="E716" s="241"/>
    </row>
    <row r="717" spans="1:5" customFormat="1" ht="24.95" customHeight="1" x14ac:dyDescent="0.25">
      <c r="A717" s="241"/>
      <c r="B717" s="243"/>
      <c r="C717" s="241"/>
      <c r="D717" s="241"/>
      <c r="E717" s="241"/>
    </row>
    <row r="718" spans="1:5" customFormat="1" ht="24.95" customHeight="1" x14ac:dyDescent="0.25">
      <c r="A718" s="241"/>
      <c r="B718" s="243"/>
      <c r="C718" s="241"/>
      <c r="D718" s="241"/>
      <c r="E718" s="241"/>
    </row>
    <row r="719" spans="1:5" customFormat="1" ht="24.95" customHeight="1" x14ac:dyDescent="0.25">
      <c r="A719" s="241"/>
      <c r="B719" s="243"/>
      <c r="C719" s="241"/>
      <c r="D719" s="241"/>
      <c r="E719" s="241"/>
    </row>
    <row r="720" spans="1:5" customFormat="1" ht="24.95" customHeight="1" x14ac:dyDescent="0.25">
      <c r="A720" s="241"/>
      <c r="B720" s="243"/>
      <c r="C720" s="241"/>
      <c r="D720" s="241"/>
      <c r="E720" s="241"/>
    </row>
    <row r="721" spans="1:5" customFormat="1" ht="24.95" customHeight="1" x14ac:dyDescent="0.25">
      <c r="A721" s="241"/>
      <c r="B721" s="243"/>
      <c r="C721" s="241"/>
      <c r="D721" s="241"/>
      <c r="E721" s="241"/>
    </row>
    <row r="722" spans="1:5" customFormat="1" ht="24.95" customHeight="1" x14ac:dyDescent="0.25">
      <c r="A722" s="241"/>
      <c r="B722" s="243"/>
      <c r="C722" s="241"/>
      <c r="D722" s="241"/>
      <c r="E722" s="241"/>
    </row>
    <row r="723" spans="1:5" customFormat="1" ht="24.95" customHeight="1" x14ac:dyDescent="0.25">
      <c r="A723" s="241"/>
      <c r="B723" s="243"/>
      <c r="C723" s="241"/>
      <c r="D723" s="241"/>
      <c r="E723" s="241"/>
    </row>
    <row r="724" spans="1:5" customFormat="1" ht="24.95" customHeight="1" x14ac:dyDescent="0.25">
      <c r="A724" s="241"/>
      <c r="B724" s="243"/>
      <c r="C724" s="241"/>
      <c r="D724" s="241"/>
      <c r="E724" s="241"/>
    </row>
    <row r="725" spans="1:5" customFormat="1" ht="24.95" customHeight="1" x14ac:dyDescent="0.25">
      <c r="A725" s="241"/>
      <c r="B725" s="243"/>
      <c r="C725" s="241"/>
      <c r="D725" s="241"/>
      <c r="E725" s="241"/>
    </row>
    <row r="726" spans="1:5" customFormat="1" ht="24.95" customHeight="1" x14ac:dyDescent="0.25">
      <c r="A726" s="241"/>
      <c r="B726" s="243"/>
      <c r="C726" s="241"/>
      <c r="D726" s="241"/>
      <c r="E726" s="241"/>
    </row>
    <row r="727" spans="1:5" customFormat="1" ht="24.95" customHeight="1" x14ac:dyDescent="0.25">
      <c r="A727" s="241"/>
      <c r="B727" s="243"/>
      <c r="C727" s="241"/>
      <c r="D727" s="241"/>
      <c r="E727" s="241"/>
    </row>
    <row r="728" spans="1:5" customFormat="1" ht="24.95" customHeight="1" x14ac:dyDescent="0.25">
      <c r="A728" s="241"/>
      <c r="B728" s="243"/>
      <c r="C728" s="241"/>
      <c r="D728" s="241"/>
      <c r="E728" s="241"/>
    </row>
    <row r="729" spans="1:5" customFormat="1" ht="24.95" customHeight="1" x14ac:dyDescent="0.25">
      <c r="A729" s="241"/>
      <c r="B729" s="243"/>
      <c r="C729" s="241"/>
      <c r="D729" s="241"/>
      <c r="E729" s="241"/>
    </row>
    <row r="730" spans="1:5" customFormat="1" ht="24.95" customHeight="1" x14ac:dyDescent="0.25">
      <c r="A730" s="241"/>
      <c r="B730" s="243"/>
      <c r="C730" s="241"/>
      <c r="D730" s="241"/>
      <c r="E730" s="241"/>
    </row>
    <row r="731" spans="1:5" customFormat="1" ht="24.95" customHeight="1" x14ac:dyDescent="0.25">
      <c r="A731" s="241"/>
      <c r="B731" s="243"/>
      <c r="C731" s="241"/>
      <c r="D731" s="241"/>
      <c r="E731" s="241"/>
    </row>
    <row r="732" spans="1:5" customFormat="1" ht="24.95" customHeight="1" x14ac:dyDescent="0.25">
      <c r="A732" s="241"/>
      <c r="B732" s="243"/>
      <c r="C732" s="241"/>
      <c r="D732" s="241"/>
      <c r="E732" s="241"/>
    </row>
    <row r="733" spans="1:5" customFormat="1" ht="24.95" customHeight="1" x14ac:dyDescent="0.25">
      <c r="A733" s="241"/>
      <c r="B733" s="243"/>
      <c r="C733" s="241"/>
      <c r="D733" s="241"/>
      <c r="E733" s="241"/>
    </row>
    <row r="734" spans="1:5" customFormat="1" ht="24.95" customHeight="1" x14ac:dyDescent="0.25">
      <c r="A734" s="241"/>
      <c r="B734" s="243"/>
      <c r="C734" s="241"/>
      <c r="D734" s="241"/>
      <c r="E734" s="241"/>
    </row>
    <row r="735" spans="1:5" customFormat="1" ht="24.95" customHeight="1" x14ac:dyDescent="0.25">
      <c r="A735" s="241"/>
      <c r="B735" s="243"/>
      <c r="C735" s="241"/>
      <c r="D735" s="241"/>
      <c r="E735" s="241"/>
    </row>
    <row r="736" spans="1:5" customFormat="1" ht="24.95" customHeight="1" x14ac:dyDescent="0.25">
      <c r="A736" s="241"/>
      <c r="B736" s="243"/>
      <c r="C736" s="241"/>
      <c r="D736" s="241"/>
      <c r="E736" s="241"/>
    </row>
    <row r="737" spans="1:5" customFormat="1" ht="24.95" customHeight="1" x14ac:dyDescent="0.25">
      <c r="A737" s="241"/>
      <c r="B737" s="243"/>
      <c r="C737" s="241"/>
      <c r="D737" s="241"/>
      <c r="E737" s="241"/>
    </row>
    <row r="738" spans="1:5" customFormat="1" ht="24.95" customHeight="1" x14ac:dyDescent="0.25">
      <c r="A738" s="241"/>
      <c r="B738" s="243"/>
      <c r="C738" s="241"/>
      <c r="D738" s="241"/>
      <c r="E738" s="241"/>
    </row>
    <row r="739" spans="1:5" customFormat="1" ht="24.95" customHeight="1" x14ac:dyDescent="0.25">
      <c r="A739" s="241"/>
      <c r="B739" s="243"/>
      <c r="C739" s="241"/>
      <c r="D739" s="241"/>
      <c r="E739" s="241"/>
    </row>
    <row r="740" spans="1:5" customFormat="1" ht="24.95" customHeight="1" x14ac:dyDescent="0.25">
      <c r="A740" s="241"/>
      <c r="B740" s="243"/>
      <c r="C740" s="241"/>
      <c r="D740" s="241"/>
      <c r="E740" s="241"/>
    </row>
    <row r="741" spans="1:5" customFormat="1" ht="24.95" customHeight="1" x14ac:dyDescent="0.25">
      <c r="A741" s="241"/>
      <c r="B741" s="243"/>
      <c r="C741" s="241"/>
      <c r="D741" s="241"/>
      <c r="E741" s="241"/>
    </row>
    <row r="742" spans="1:5" customFormat="1" ht="24.95" customHeight="1" x14ac:dyDescent="0.25">
      <c r="A742" s="241"/>
      <c r="B742" s="243"/>
      <c r="C742" s="241"/>
      <c r="D742" s="241"/>
      <c r="E742" s="241"/>
    </row>
    <row r="743" spans="1:5" customFormat="1" ht="24.95" customHeight="1" x14ac:dyDescent="0.25">
      <c r="A743" s="241"/>
      <c r="B743" s="243"/>
      <c r="C743" s="241"/>
      <c r="D743" s="241"/>
      <c r="E743" s="241"/>
    </row>
    <row r="744" spans="1:5" customFormat="1" ht="24.95" customHeight="1" x14ac:dyDescent="0.25">
      <c r="A744" s="241"/>
      <c r="B744" s="243"/>
      <c r="C744" s="241"/>
      <c r="D744" s="241"/>
      <c r="E744" s="241"/>
    </row>
    <row r="745" spans="1:5" customFormat="1" ht="24.95" customHeight="1" x14ac:dyDescent="0.25">
      <c r="A745" s="241"/>
      <c r="B745" s="243"/>
      <c r="C745" s="241"/>
      <c r="D745" s="241"/>
      <c r="E745" s="241"/>
    </row>
    <row r="746" spans="1:5" customFormat="1" ht="24.95" customHeight="1" x14ac:dyDescent="0.25">
      <c r="A746" s="241"/>
      <c r="B746" s="243"/>
      <c r="C746" s="241"/>
      <c r="D746" s="241"/>
      <c r="E746" s="241"/>
    </row>
    <row r="747" spans="1:5" customFormat="1" ht="24.95" customHeight="1" x14ac:dyDescent="0.25">
      <c r="A747" s="241"/>
      <c r="B747" s="243"/>
      <c r="C747" s="241"/>
      <c r="D747" s="241"/>
      <c r="E747" s="241"/>
    </row>
    <row r="748" spans="1:5" customFormat="1" ht="24.95" customHeight="1" x14ac:dyDescent="0.25">
      <c r="A748" s="241"/>
      <c r="B748" s="243"/>
      <c r="C748" s="241"/>
      <c r="D748" s="241"/>
      <c r="E748" s="241"/>
    </row>
    <row r="749" spans="1:5" customFormat="1" ht="24.95" customHeight="1" x14ac:dyDescent="0.25">
      <c r="A749" s="241"/>
      <c r="B749" s="243"/>
      <c r="C749" s="241"/>
      <c r="D749" s="241"/>
      <c r="E749" s="241"/>
    </row>
    <row r="750" spans="1:5" customFormat="1" ht="24.95" customHeight="1" x14ac:dyDescent="0.25">
      <c r="A750" s="241"/>
      <c r="B750" s="243"/>
      <c r="C750" s="241"/>
      <c r="D750" s="241"/>
      <c r="E750" s="241"/>
    </row>
    <row r="751" spans="1:5" customFormat="1" ht="24.95" customHeight="1" x14ac:dyDescent="0.25">
      <c r="A751" s="241"/>
      <c r="B751" s="243"/>
      <c r="C751" s="241"/>
      <c r="D751" s="241"/>
      <c r="E751" s="241"/>
    </row>
    <row r="752" spans="1:5" customFormat="1" ht="24.95" customHeight="1" x14ac:dyDescent="0.25">
      <c r="A752" s="241"/>
      <c r="B752" s="243"/>
      <c r="C752" s="241"/>
      <c r="D752" s="241"/>
      <c r="E752" s="241"/>
    </row>
    <row r="753" spans="1:5" customFormat="1" ht="24.95" customHeight="1" x14ac:dyDescent="0.25">
      <c r="A753" s="241"/>
      <c r="B753" s="243"/>
      <c r="C753" s="241"/>
      <c r="D753" s="241"/>
      <c r="E753" s="241"/>
    </row>
    <row r="754" spans="1:5" customFormat="1" ht="24.95" customHeight="1" x14ac:dyDescent="0.25">
      <c r="A754" s="241"/>
      <c r="B754" s="243"/>
      <c r="C754" s="241"/>
      <c r="D754" s="241"/>
      <c r="E754" s="241"/>
    </row>
    <row r="755" spans="1:5" customFormat="1" ht="24.95" customHeight="1" x14ac:dyDescent="0.25">
      <c r="A755" s="241"/>
      <c r="B755" s="243"/>
      <c r="C755" s="241"/>
      <c r="D755" s="241"/>
      <c r="E755" s="241"/>
    </row>
    <row r="756" spans="1:5" customFormat="1" ht="24.95" customHeight="1" x14ac:dyDescent="0.25">
      <c r="A756" s="241"/>
      <c r="B756" s="243"/>
      <c r="C756" s="241"/>
      <c r="D756" s="241"/>
      <c r="E756" s="241"/>
    </row>
    <row r="757" spans="1:5" customFormat="1" ht="24.95" customHeight="1" x14ac:dyDescent="0.25">
      <c r="A757" s="241"/>
      <c r="B757" s="243"/>
      <c r="C757" s="241"/>
      <c r="D757" s="241"/>
      <c r="E757" s="241"/>
    </row>
    <row r="758" spans="1:5" customFormat="1" ht="24.95" customHeight="1" x14ac:dyDescent="0.25">
      <c r="A758" s="241"/>
      <c r="B758" s="243"/>
      <c r="C758" s="241"/>
      <c r="D758" s="241"/>
      <c r="E758" s="241"/>
    </row>
    <row r="759" spans="1:5" customFormat="1" ht="24.95" customHeight="1" x14ac:dyDescent="0.25">
      <c r="A759" s="241"/>
      <c r="B759" s="243"/>
      <c r="C759" s="241"/>
      <c r="D759" s="241"/>
      <c r="E759" s="241"/>
    </row>
    <row r="760" spans="1:5" customFormat="1" ht="24.95" customHeight="1" x14ac:dyDescent="0.25">
      <c r="A760" s="241"/>
      <c r="B760" s="243"/>
      <c r="C760" s="241"/>
      <c r="D760" s="241"/>
      <c r="E760" s="241"/>
    </row>
    <row r="761" spans="1:5" customFormat="1" ht="24.95" customHeight="1" x14ac:dyDescent="0.25">
      <c r="A761" s="241"/>
      <c r="B761" s="243"/>
      <c r="C761" s="241"/>
      <c r="D761" s="241"/>
      <c r="E761" s="241"/>
    </row>
    <row r="762" spans="1:5" customFormat="1" ht="24.95" customHeight="1" x14ac:dyDescent="0.25">
      <c r="A762" s="241"/>
      <c r="B762" s="243"/>
      <c r="C762" s="241"/>
      <c r="D762" s="241"/>
      <c r="E762" s="241"/>
    </row>
    <row r="763" spans="1:5" customFormat="1" ht="24.95" customHeight="1" x14ac:dyDescent="0.25">
      <c r="A763" s="241"/>
      <c r="B763" s="243"/>
      <c r="C763" s="241"/>
      <c r="D763" s="241"/>
      <c r="E763" s="241"/>
    </row>
    <row r="764" spans="1:5" customFormat="1" ht="24.95" customHeight="1" x14ac:dyDescent="0.25">
      <c r="A764" s="241"/>
      <c r="B764" s="243"/>
      <c r="C764" s="241"/>
      <c r="D764" s="241"/>
      <c r="E764" s="241"/>
    </row>
    <row r="765" spans="1:5" customFormat="1" ht="24.95" customHeight="1" x14ac:dyDescent="0.25">
      <c r="A765" s="241"/>
      <c r="B765" s="243"/>
      <c r="C765" s="241"/>
      <c r="D765" s="241"/>
      <c r="E765" s="241"/>
    </row>
    <row r="766" spans="1:5" customFormat="1" ht="24.95" customHeight="1" x14ac:dyDescent="0.25">
      <c r="A766" s="241"/>
      <c r="B766" s="243"/>
      <c r="C766" s="241"/>
      <c r="D766" s="241"/>
      <c r="E766" s="241"/>
    </row>
    <row r="767" spans="1:5" customFormat="1" ht="24.95" customHeight="1" x14ac:dyDescent="0.25">
      <c r="A767" s="241"/>
      <c r="B767" s="243"/>
      <c r="C767" s="241"/>
      <c r="D767" s="241"/>
      <c r="E767" s="241"/>
    </row>
    <row r="768" spans="1:5" customFormat="1" ht="24.95" customHeight="1" x14ac:dyDescent="0.25">
      <c r="A768" s="241"/>
      <c r="B768" s="243"/>
      <c r="C768" s="241"/>
      <c r="D768" s="241"/>
      <c r="E768" s="241"/>
    </row>
    <row r="769" spans="1:5" customFormat="1" ht="24.95" customHeight="1" x14ac:dyDescent="0.25">
      <c r="A769" s="241"/>
      <c r="B769" s="243"/>
      <c r="C769" s="241"/>
      <c r="D769" s="241"/>
      <c r="E769" s="241"/>
    </row>
    <row r="770" spans="1:5" customFormat="1" ht="24.95" customHeight="1" x14ac:dyDescent="0.25">
      <c r="A770" s="241"/>
      <c r="B770" s="243"/>
      <c r="C770" s="241"/>
      <c r="D770" s="241"/>
      <c r="E770" s="241"/>
    </row>
    <row r="771" spans="1:5" customFormat="1" ht="24.95" customHeight="1" x14ac:dyDescent="0.25">
      <c r="A771" s="241"/>
      <c r="B771" s="243"/>
      <c r="C771" s="241"/>
      <c r="D771" s="241"/>
      <c r="E771" s="241"/>
    </row>
    <row r="772" spans="1:5" customFormat="1" ht="24.95" customHeight="1" x14ac:dyDescent="0.25">
      <c r="A772" s="241"/>
      <c r="B772" s="243"/>
      <c r="C772" s="241"/>
      <c r="D772" s="241"/>
      <c r="E772" s="241"/>
    </row>
    <row r="773" spans="1:5" customFormat="1" ht="24.95" customHeight="1" x14ac:dyDescent="0.25">
      <c r="A773" s="241"/>
      <c r="B773" s="243"/>
      <c r="C773" s="241"/>
      <c r="D773" s="241"/>
      <c r="E773" s="241"/>
    </row>
    <row r="774" spans="1:5" customFormat="1" ht="24.95" customHeight="1" x14ac:dyDescent="0.25">
      <c r="A774" s="241"/>
      <c r="B774" s="243"/>
      <c r="C774" s="241"/>
      <c r="D774" s="241"/>
      <c r="E774" s="241"/>
    </row>
    <row r="775" spans="1:5" customFormat="1" ht="24.95" customHeight="1" x14ac:dyDescent="0.25">
      <c r="A775" s="241"/>
      <c r="B775" s="243"/>
      <c r="C775" s="241"/>
      <c r="D775" s="241"/>
      <c r="E775" s="241"/>
    </row>
    <row r="776" spans="1:5" customFormat="1" ht="24.95" customHeight="1" x14ac:dyDescent="0.25">
      <c r="A776" s="241"/>
      <c r="B776" s="243"/>
      <c r="C776" s="241"/>
      <c r="D776" s="241"/>
      <c r="E776" s="241"/>
    </row>
    <row r="777" spans="1:5" customFormat="1" ht="24.95" customHeight="1" x14ac:dyDescent="0.25">
      <c r="A777" s="241"/>
      <c r="B777" s="243"/>
      <c r="C777" s="241"/>
      <c r="D777" s="241"/>
      <c r="E777" s="241"/>
    </row>
    <row r="778" spans="1:5" customFormat="1" ht="24.95" customHeight="1" x14ac:dyDescent="0.25">
      <c r="A778" s="241"/>
      <c r="B778" s="243"/>
      <c r="C778" s="241"/>
      <c r="D778" s="241"/>
      <c r="E778" s="241"/>
    </row>
    <row r="779" spans="1:5" customFormat="1" ht="24.95" customHeight="1" x14ac:dyDescent="0.25">
      <c r="A779" s="241"/>
      <c r="B779" s="243"/>
      <c r="C779" s="241"/>
      <c r="D779" s="241"/>
      <c r="E779" s="241"/>
    </row>
    <row r="780" spans="1:5" customFormat="1" ht="24.95" customHeight="1" x14ac:dyDescent="0.25">
      <c r="A780" s="241"/>
      <c r="B780" s="243"/>
      <c r="C780" s="241"/>
      <c r="D780" s="241"/>
      <c r="E780" s="241"/>
    </row>
    <row r="781" spans="1:5" customFormat="1" ht="24.95" customHeight="1" x14ac:dyDescent="0.25">
      <c r="A781" s="241"/>
      <c r="B781" s="243"/>
      <c r="C781" s="241"/>
      <c r="D781" s="241"/>
      <c r="E781" s="241"/>
    </row>
    <row r="782" spans="1:5" customFormat="1" ht="24.95" customHeight="1" x14ac:dyDescent="0.25">
      <c r="A782" s="241"/>
      <c r="B782" s="243"/>
      <c r="C782" s="241"/>
      <c r="D782" s="241"/>
      <c r="E782" s="241"/>
    </row>
    <row r="783" spans="1:5" customFormat="1" ht="24.95" customHeight="1" x14ac:dyDescent="0.25">
      <c r="A783" s="241"/>
      <c r="B783" s="243"/>
      <c r="C783" s="241"/>
      <c r="D783" s="241"/>
      <c r="E783" s="241"/>
    </row>
    <row r="784" spans="1:5" customFormat="1" ht="24.95" customHeight="1" x14ac:dyDescent="0.25">
      <c r="A784" s="241"/>
      <c r="B784" s="243"/>
      <c r="C784" s="241"/>
      <c r="D784" s="241"/>
      <c r="E784" s="241"/>
    </row>
    <row r="785" spans="1:5" customFormat="1" ht="24.95" customHeight="1" x14ac:dyDescent="0.25">
      <c r="A785" s="241"/>
      <c r="B785" s="243"/>
      <c r="C785" s="241"/>
      <c r="D785" s="241"/>
      <c r="E785" s="241"/>
    </row>
    <row r="786" spans="1:5" customFormat="1" ht="24.95" customHeight="1" x14ac:dyDescent="0.25">
      <c r="A786" s="241"/>
      <c r="B786" s="243"/>
      <c r="C786" s="241"/>
      <c r="D786" s="241"/>
      <c r="E786" s="241"/>
    </row>
    <row r="787" spans="1:5" customFormat="1" ht="24.95" customHeight="1" x14ac:dyDescent="0.25">
      <c r="A787" s="241"/>
      <c r="B787" s="243"/>
      <c r="C787" s="241"/>
      <c r="D787" s="241"/>
      <c r="E787" s="241"/>
    </row>
    <row r="788" spans="1:5" customFormat="1" ht="24.95" customHeight="1" x14ac:dyDescent="0.25">
      <c r="A788" s="241"/>
      <c r="B788" s="243"/>
      <c r="C788" s="241"/>
      <c r="D788" s="241"/>
      <c r="E788" s="241"/>
    </row>
    <row r="789" spans="1:5" customFormat="1" ht="24.95" customHeight="1" x14ac:dyDescent="0.25">
      <c r="A789" s="241"/>
      <c r="B789" s="243"/>
      <c r="C789" s="241"/>
      <c r="D789" s="241"/>
      <c r="E789" s="241"/>
    </row>
    <row r="790" spans="1:5" customFormat="1" ht="24.95" customHeight="1" x14ac:dyDescent="0.25">
      <c r="A790" s="241"/>
      <c r="B790" s="243"/>
      <c r="C790" s="241"/>
      <c r="D790" s="241"/>
      <c r="E790" s="241"/>
    </row>
    <row r="791" spans="1:5" customFormat="1" ht="24.95" customHeight="1" x14ac:dyDescent="0.25">
      <c r="A791" s="241"/>
      <c r="B791" s="243"/>
      <c r="C791" s="241"/>
      <c r="D791" s="241"/>
      <c r="E791" s="241"/>
    </row>
    <row r="792" spans="1:5" customFormat="1" ht="24.95" customHeight="1" x14ac:dyDescent="0.25">
      <c r="A792" s="241"/>
      <c r="B792" s="243"/>
      <c r="C792" s="241"/>
      <c r="D792" s="241"/>
      <c r="E792" s="241"/>
    </row>
    <row r="793" spans="1:5" customFormat="1" ht="24.95" customHeight="1" x14ac:dyDescent="0.25">
      <c r="A793" s="241"/>
      <c r="B793" s="243"/>
      <c r="C793" s="241"/>
      <c r="D793" s="241"/>
      <c r="E793" s="241"/>
    </row>
    <row r="794" spans="1:5" customFormat="1" ht="24.95" customHeight="1" x14ac:dyDescent="0.25">
      <c r="A794" s="241"/>
      <c r="B794" s="243"/>
      <c r="C794" s="241"/>
      <c r="D794" s="241"/>
      <c r="E794" s="241"/>
    </row>
    <row r="795" spans="1:5" customFormat="1" ht="24.95" customHeight="1" x14ac:dyDescent="0.25">
      <c r="A795" s="241"/>
      <c r="B795" s="243"/>
      <c r="C795" s="241"/>
      <c r="D795" s="241"/>
      <c r="E795" s="241"/>
    </row>
    <row r="796" spans="1:5" customFormat="1" ht="24.95" customHeight="1" x14ac:dyDescent="0.25">
      <c r="A796" s="241"/>
      <c r="B796" s="243"/>
      <c r="C796" s="241"/>
      <c r="D796" s="241"/>
      <c r="E796" s="241"/>
    </row>
    <row r="797" spans="1:5" customFormat="1" ht="24.95" customHeight="1" x14ac:dyDescent="0.25">
      <c r="A797" s="241"/>
      <c r="B797" s="243"/>
      <c r="C797" s="241"/>
      <c r="D797" s="241"/>
      <c r="E797" s="241"/>
    </row>
    <row r="798" spans="1:5" customFormat="1" ht="24.95" customHeight="1" x14ac:dyDescent="0.25">
      <c r="A798" s="241"/>
      <c r="B798" s="243"/>
      <c r="C798" s="241"/>
      <c r="D798" s="241"/>
      <c r="E798" s="241"/>
    </row>
    <row r="799" spans="1:5" customFormat="1" ht="24.95" customHeight="1" x14ac:dyDescent="0.25">
      <c r="A799" s="241"/>
      <c r="B799" s="243"/>
      <c r="C799" s="241"/>
      <c r="D799" s="241"/>
      <c r="E799" s="241"/>
    </row>
    <row r="800" spans="1:5" customFormat="1" ht="24.95" customHeight="1" x14ac:dyDescent="0.25">
      <c r="A800" s="241"/>
      <c r="B800" s="243"/>
      <c r="C800" s="241"/>
      <c r="D800" s="241"/>
      <c r="E800" s="241"/>
    </row>
    <row r="801" spans="1:5" customFormat="1" ht="24.95" customHeight="1" x14ac:dyDescent="0.25">
      <c r="A801" s="241"/>
      <c r="B801" s="243"/>
      <c r="C801" s="241"/>
      <c r="D801" s="241"/>
      <c r="E801" s="241"/>
    </row>
    <row r="802" spans="1:5" customFormat="1" ht="24.95" customHeight="1" x14ac:dyDescent="0.25">
      <c r="A802" s="241"/>
      <c r="B802" s="243"/>
      <c r="C802" s="241"/>
      <c r="D802" s="241"/>
      <c r="E802" s="241"/>
    </row>
    <row r="803" spans="1:5" customFormat="1" ht="24.95" customHeight="1" x14ac:dyDescent="0.25">
      <c r="A803" s="241"/>
      <c r="B803" s="243"/>
      <c r="C803" s="241"/>
      <c r="D803" s="241"/>
      <c r="E803" s="241"/>
    </row>
    <row r="804" spans="1:5" customFormat="1" ht="24.95" customHeight="1" x14ac:dyDescent="0.25">
      <c r="A804" s="241"/>
      <c r="B804" s="243"/>
      <c r="C804" s="241"/>
      <c r="D804" s="241"/>
      <c r="E804" s="241"/>
    </row>
    <row r="805" spans="1:5" customFormat="1" ht="24.95" customHeight="1" x14ac:dyDescent="0.25">
      <c r="A805" s="241"/>
      <c r="B805" s="243"/>
      <c r="C805" s="241"/>
      <c r="D805" s="241"/>
      <c r="E805" s="241"/>
    </row>
    <row r="806" spans="1:5" customFormat="1" ht="24.95" customHeight="1" x14ac:dyDescent="0.25">
      <c r="A806" s="241"/>
      <c r="B806" s="243"/>
      <c r="C806" s="241"/>
      <c r="D806" s="241"/>
      <c r="E806" s="241"/>
    </row>
    <row r="807" spans="1:5" customFormat="1" ht="24.95" customHeight="1" x14ac:dyDescent="0.25">
      <c r="A807" s="241"/>
      <c r="B807" s="243"/>
      <c r="C807" s="241"/>
      <c r="D807" s="241"/>
      <c r="E807" s="241"/>
    </row>
    <row r="808" spans="1:5" customFormat="1" ht="24.95" customHeight="1" x14ac:dyDescent="0.25">
      <c r="A808" s="241"/>
      <c r="B808" s="243"/>
      <c r="C808" s="241"/>
      <c r="D808" s="241"/>
      <c r="E808" s="241"/>
    </row>
    <row r="809" spans="1:5" customFormat="1" ht="24.95" customHeight="1" x14ac:dyDescent="0.25">
      <c r="A809" s="241"/>
      <c r="B809" s="243"/>
      <c r="C809" s="241"/>
      <c r="D809" s="241"/>
      <c r="E809" s="241"/>
    </row>
    <row r="810" spans="1:5" customFormat="1" ht="24.95" customHeight="1" x14ac:dyDescent="0.25">
      <c r="A810" s="241"/>
      <c r="B810" s="243"/>
      <c r="C810" s="241"/>
      <c r="D810" s="241"/>
      <c r="E810" s="241"/>
    </row>
    <row r="811" spans="1:5" customFormat="1" ht="24.95" customHeight="1" x14ac:dyDescent="0.25">
      <c r="A811" s="241"/>
      <c r="B811" s="243"/>
      <c r="C811" s="241"/>
      <c r="D811" s="241"/>
      <c r="E811" s="241"/>
    </row>
    <row r="812" spans="1:5" customFormat="1" ht="24.95" customHeight="1" x14ac:dyDescent="0.25">
      <c r="A812" s="241"/>
      <c r="B812" s="243"/>
      <c r="C812" s="241"/>
      <c r="D812" s="241"/>
      <c r="E812" s="241"/>
    </row>
    <row r="813" spans="1:5" customFormat="1" ht="24.95" customHeight="1" x14ac:dyDescent="0.25">
      <c r="A813" s="241"/>
      <c r="B813" s="243"/>
      <c r="C813" s="241"/>
      <c r="D813" s="241"/>
      <c r="E813" s="241"/>
    </row>
    <row r="814" spans="1:5" customFormat="1" ht="24.95" customHeight="1" x14ac:dyDescent="0.25">
      <c r="A814" s="241"/>
      <c r="B814" s="243"/>
      <c r="C814" s="241"/>
      <c r="D814" s="241"/>
      <c r="E814" s="241"/>
    </row>
    <row r="815" spans="1:5" customFormat="1" ht="24.95" customHeight="1" x14ac:dyDescent="0.25">
      <c r="A815" s="241"/>
      <c r="B815" s="243"/>
      <c r="C815" s="241"/>
      <c r="D815" s="241"/>
      <c r="E815" s="241"/>
    </row>
    <row r="816" spans="1:5" customFormat="1" ht="24.95" customHeight="1" x14ac:dyDescent="0.25">
      <c r="A816" s="241"/>
      <c r="B816" s="243"/>
      <c r="C816" s="241"/>
      <c r="D816" s="241"/>
      <c r="E816" s="241"/>
    </row>
    <row r="817" spans="1:5" customFormat="1" ht="24.95" customHeight="1" x14ac:dyDescent="0.25">
      <c r="A817" s="241"/>
      <c r="B817" s="243"/>
      <c r="C817" s="241"/>
      <c r="D817" s="241"/>
      <c r="E817" s="241"/>
    </row>
    <row r="818" spans="1:5" customFormat="1" ht="24.95" customHeight="1" x14ac:dyDescent="0.25">
      <c r="A818" s="241"/>
      <c r="B818" s="243"/>
      <c r="C818" s="241"/>
      <c r="D818" s="241"/>
      <c r="E818" s="241"/>
    </row>
    <row r="819" spans="1:5" customFormat="1" ht="24.95" customHeight="1" x14ac:dyDescent="0.25">
      <c r="A819" s="241"/>
      <c r="B819" s="243"/>
      <c r="C819" s="241"/>
      <c r="D819" s="241"/>
      <c r="E819" s="241"/>
    </row>
    <row r="820" spans="1:5" customFormat="1" ht="24.95" customHeight="1" x14ac:dyDescent="0.25">
      <c r="A820" s="241"/>
      <c r="B820" s="243"/>
      <c r="C820" s="241"/>
      <c r="D820" s="241"/>
      <c r="E820" s="241"/>
    </row>
    <row r="821" spans="1:5" customFormat="1" ht="24.95" customHeight="1" x14ac:dyDescent="0.25">
      <c r="A821" s="241"/>
      <c r="B821" s="243"/>
      <c r="C821" s="241"/>
      <c r="D821" s="241"/>
      <c r="E821" s="241"/>
    </row>
    <row r="822" spans="1:5" customFormat="1" ht="24.95" customHeight="1" x14ac:dyDescent="0.25">
      <c r="A822" s="241"/>
      <c r="B822" s="243"/>
      <c r="C822" s="241"/>
      <c r="D822" s="241"/>
      <c r="E822" s="241"/>
    </row>
    <row r="823" spans="1:5" customFormat="1" ht="24.95" customHeight="1" x14ac:dyDescent="0.25">
      <c r="A823" s="241"/>
      <c r="B823" s="243"/>
      <c r="C823" s="241"/>
      <c r="D823" s="241"/>
      <c r="E823" s="241"/>
    </row>
    <row r="824" spans="1:5" customFormat="1" ht="24.95" customHeight="1" x14ac:dyDescent="0.25">
      <c r="A824" s="241"/>
      <c r="B824" s="243"/>
      <c r="C824" s="241"/>
      <c r="D824" s="241"/>
      <c r="E824" s="241"/>
    </row>
    <row r="825" spans="1:5" customFormat="1" ht="24.95" customHeight="1" x14ac:dyDescent="0.25">
      <c r="A825" s="241"/>
      <c r="B825" s="243"/>
      <c r="C825" s="241"/>
      <c r="D825" s="241"/>
      <c r="E825" s="241"/>
    </row>
    <row r="826" spans="1:5" customFormat="1" ht="24.95" customHeight="1" x14ac:dyDescent="0.25">
      <c r="A826" s="241"/>
      <c r="B826" s="243"/>
      <c r="C826" s="241"/>
      <c r="D826" s="241"/>
      <c r="E826" s="241"/>
    </row>
    <row r="827" spans="1:5" customFormat="1" ht="24.95" customHeight="1" x14ac:dyDescent="0.25">
      <c r="A827" s="241"/>
      <c r="B827" s="243"/>
      <c r="C827" s="241"/>
      <c r="D827" s="241"/>
      <c r="E827" s="241"/>
    </row>
    <row r="828" spans="1:5" customFormat="1" ht="24.95" customHeight="1" x14ac:dyDescent="0.25">
      <c r="A828" s="241"/>
      <c r="B828" s="243"/>
      <c r="C828" s="241"/>
      <c r="D828" s="241"/>
      <c r="E828" s="241"/>
    </row>
    <row r="829" spans="1:5" customFormat="1" ht="24.95" customHeight="1" x14ac:dyDescent="0.25">
      <c r="A829" s="241"/>
      <c r="B829" s="243"/>
      <c r="C829" s="241"/>
      <c r="D829" s="241"/>
      <c r="E829" s="241"/>
    </row>
    <row r="830" spans="1:5" customFormat="1" ht="24.95" customHeight="1" x14ac:dyDescent="0.25">
      <c r="A830" s="241"/>
      <c r="B830" s="243"/>
      <c r="C830" s="241"/>
      <c r="D830" s="241"/>
      <c r="E830" s="241"/>
    </row>
    <row r="831" spans="1:5" customFormat="1" ht="24.95" customHeight="1" x14ac:dyDescent="0.25">
      <c r="A831" s="241"/>
      <c r="B831" s="243"/>
      <c r="C831" s="241"/>
      <c r="D831" s="241"/>
      <c r="E831" s="241"/>
    </row>
    <row r="832" spans="1:5" customFormat="1" ht="24.95" customHeight="1" x14ac:dyDescent="0.25">
      <c r="A832" s="241"/>
      <c r="B832" s="243"/>
      <c r="C832" s="241"/>
      <c r="D832" s="241"/>
      <c r="E832" s="241"/>
    </row>
    <row r="833" spans="1:5" customFormat="1" ht="24.95" customHeight="1" x14ac:dyDescent="0.25">
      <c r="A833" s="241"/>
      <c r="B833" s="243"/>
      <c r="C833" s="241"/>
      <c r="D833" s="241"/>
      <c r="E833" s="241"/>
    </row>
    <row r="834" spans="1:5" customFormat="1" ht="24.95" customHeight="1" x14ac:dyDescent="0.25">
      <c r="A834" s="241"/>
      <c r="B834" s="243"/>
      <c r="C834" s="241"/>
      <c r="D834" s="241"/>
      <c r="E834" s="241"/>
    </row>
    <row r="835" spans="1:5" customFormat="1" ht="24.95" customHeight="1" x14ac:dyDescent="0.25">
      <c r="A835" s="241"/>
      <c r="B835" s="243"/>
      <c r="C835" s="241"/>
      <c r="D835" s="241"/>
      <c r="E835" s="241"/>
    </row>
    <row r="836" spans="1:5" customFormat="1" ht="24.95" customHeight="1" x14ac:dyDescent="0.25">
      <c r="A836" s="241"/>
      <c r="B836" s="243"/>
      <c r="C836" s="241"/>
      <c r="D836" s="241"/>
      <c r="E836" s="241"/>
    </row>
    <row r="837" spans="1:5" customFormat="1" ht="24.95" customHeight="1" x14ac:dyDescent="0.25">
      <c r="A837" s="241"/>
      <c r="B837" s="243"/>
      <c r="C837" s="241"/>
      <c r="D837" s="241"/>
      <c r="E837" s="241"/>
    </row>
    <row r="838" spans="1:5" customFormat="1" ht="24.95" customHeight="1" x14ac:dyDescent="0.25">
      <c r="A838" s="241"/>
      <c r="B838" s="243"/>
      <c r="C838" s="241"/>
      <c r="D838" s="241"/>
      <c r="E838" s="241"/>
    </row>
    <row r="839" spans="1:5" customFormat="1" ht="24.95" customHeight="1" x14ac:dyDescent="0.25">
      <c r="A839" s="241"/>
      <c r="B839" s="243"/>
      <c r="C839" s="241"/>
      <c r="D839" s="241"/>
      <c r="E839" s="241"/>
    </row>
    <row r="840" spans="1:5" customFormat="1" ht="24.95" customHeight="1" x14ac:dyDescent="0.25">
      <c r="A840" s="241"/>
      <c r="B840" s="243"/>
      <c r="C840" s="241"/>
      <c r="D840" s="241"/>
      <c r="E840" s="241"/>
    </row>
    <row r="841" spans="1:5" customFormat="1" ht="24.95" customHeight="1" x14ac:dyDescent="0.25">
      <c r="A841" s="241"/>
      <c r="B841" s="243"/>
      <c r="C841" s="241"/>
      <c r="D841" s="241"/>
      <c r="E841" s="241"/>
    </row>
    <row r="842" spans="1:5" customFormat="1" ht="24.95" customHeight="1" x14ac:dyDescent="0.25">
      <c r="A842" s="241"/>
      <c r="B842" s="243"/>
      <c r="C842" s="241"/>
      <c r="D842" s="241"/>
      <c r="E842" s="241"/>
    </row>
    <row r="843" spans="1:5" customFormat="1" ht="24.95" customHeight="1" x14ac:dyDescent="0.25">
      <c r="A843" s="241"/>
      <c r="B843" s="243"/>
      <c r="C843" s="241"/>
      <c r="D843" s="241"/>
      <c r="E843" s="241"/>
    </row>
    <row r="844" spans="1:5" customFormat="1" ht="24.95" customHeight="1" x14ac:dyDescent="0.25">
      <c r="A844" s="241"/>
      <c r="B844" s="243"/>
      <c r="C844" s="241"/>
      <c r="D844" s="241"/>
      <c r="E844" s="241"/>
    </row>
    <row r="845" spans="1:5" customFormat="1" ht="24.95" customHeight="1" x14ac:dyDescent="0.25">
      <c r="A845" s="241"/>
      <c r="B845" s="243"/>
      <c r="C845" s="241"/>
      <c r="D845" s="241"/>
      <c r="E845" s="241"/>
    </row>
    <row r="846" spans="1:5" customFormat="1" ht="24.95" customHeight="1" x14ac:dyDescent="0.25">
      <c r="A846" s="241"/>
      <c r="B846" s="243"/>
      <c r="C846" s="241"/>
      <c r="D846" s="241"/>
      <c r="E846" s="241"/>
    </row>
    <row r="847" spans="1:5" customFormat="1" ht="24.95" customHeight="1" x14ac:dyDescent="0.25">
      <c r="A847" s="241"/>
      <c r="B847" s="243"/>
      <c r="C847" s="241"/>
      <c r="D847" s="241"/>
      <c r="E847" s="241"/>
    </row>
    <row r="848" spans="1:5" customFormat="1" ht="24.95" customHeight="1" x14ac:dyDescent="0.25">
      <c r="A848" s="241"/>
      <c r="B848" s="243"/>
      <c r="C848" s="241"/>
      <c r="D848" s="241"/>
      <c r="E848" s="241"/>
    </row>
    <row r="849" spans="1:5" customFormat="1" ht="24.95" customHeight="1" x14ac:dyDescent="0.25">
      <c r="A849" s="241"/>
      <c r="B849" s="243"/>
      <c r="C849" s="241"/>
      <c r="D849" s="241"/>
      <c r="E849" s="241"/>
    </row>
    <row r="850" spans="1:5" customFormat="1" ht="24.95" customHeight="1" x14ac:dyDescent="0.25">
      <c r="A850" s="241"/>
      <c r="B850" s="243"/>
      <c r="C850" s="241"/>
      <c r="D850" s="241"/>
      <c r="E850" s="241"/>
    </row>
    <row r="851" spans="1:5" customFormat="1" ht="24.95" customHeight="1" x14ac:dyDescent="0.25">
      <c r="A851" s="241"/>
      <c r="B851" s="243"/>
      <c r="C851" s="241"/>
      <c r="D851" s="241"/>
      <c r="E851" s="241"/>
    </row>
    <row r="852" spans="1:5" customFormat="1" ht="24.95" customHeight="1" x14ac:dyDescent="0.25">
      <c r="A852" s="241"/>
      <c r="B852" s="243"/>
      <c r="C852" s="241"/>
      <c r="D852" s="241"/>
      <c r="E852" s="241"/>
    </row>
    <row r="853" spans="1:5" customFormat="1" ht="24.95" customHeight="1" x14ac:dyDescent="0.25">
      <c r="A853" s="241"/>
      <c r="B853" s="243"/>
      <c r="C853" s="241"/>
      <c r="D853" s="241"/>
      <c r="E853" s="241"/>
    </row>
    <row r="854" spans="1:5" customFormat="1" ht="24.95" customHeight="1" x14ac:dyDescent="0.25">
      <c r="A854" s="241"/>
      <c r="B854" s="243"/>
      <c r="C854" s="241"/>
      <c r="D854" s="241"/>
      <c r="E854" s="241"/>
    </row>
    <row r="855" spans="1:5" customFormat="1" ht="24.95" customHeight="1" x14ac:dyDescent="0.25">
      <c r="A855" s="241"/>
      <c r="B855" s="243"/>
      <c r="C855" s="241"/>
      <c r="D855" s="241"/>
      <c r="E855" s="241"/>
    </row>
    <row r="856" spans="1:5" customFormat="1" ht="24.95" customHeight="1" x14ac:dyDescent="0.25">
      <c r="A856" s="241"/>
      <c r="B856" s="243"/>
      <c r="C856" s="241"/>
      <c r="D856" s="241"/>
      <c r="E856" s="241"/>
    </row>
    <row r="857" spans="1:5" customFormat="1" ht="24.95" customHeight="1" x14ac:dyDescent="0.25">
      <c r="A857" s="241"/>
      <c r="B857" s="243"/>
      <c r="C857" s="241"/>
      <c r="D857" s="241"/>
      <c r="E857" s="241"/>
    </row>
    <row r="858" spans="1:5" customFormat="1" ht="24.95" customHeight="1" x14ac:dyDescent="0.25">
      <c r="A858" s="241"/>
      <c r="B858" s="243"/>
      <c r="C858" s="241"/>
      <c r="D858" s="241"/>
      <c r="E858" s="241"/>
    </row>
    <row r="859" spans="1:5" customFormat="1" ht="24.95" customHeight="1" x14ac:dyDescent="0.25">
      <c r="A859" s="241"/>
      <c r="B859" s="243"/>
      <c r="C859" s="241"/>
      <c r="D859" s="241"/>
      <c r="E859" s="241"/>
    </row>
    <row r="860" spans="1:5" customFormat="1" ht="24.95" customHeight="1" x14ac:dyDescent="0.25">
      <c r="A860" s="241"/>
      <c r="B860" s="243"/>
      <c r="C860" s="241"/>
      <c r="D860" s="241"/>
      <c r="E860" s="241"/>
    </row>
    <row r="861" spans="1:5" customFormat="1" ht="24.95" customHeight="1" x14ac:dyDescent="0.25">
      <c r="A861" s="241"/>
      <c r="B861" s="243"/>
      <c r="C861" s="241"/>
      <c r="D861" s="241"/>
      <c r="E861" s="241"/>
    </row>
    <row r="862" spans="1:5" customFormat="1" ht="24.95" customHeight="1" x14ac:dyDescent="0.25">
      <c r="A862" s="241"/>
      <c r="B862" s="243"/>
      <c r="C862" s="241"/>
      <c r="D862" s="241"/>
      <c r="E862" s="241"/>
    </row>
    <row r="863" spans="1:5" customFormat="1" ht="24.95" customHeight="1" x14ac:dyDescent="0.25">
      <c r="A863" s="241"/>
      <c r="B863" s="243"/>
      <c r="C863" s="241"/>
      <c r="D863" s="241"/>
      <c r="E863" s="241"/>
    </row>
    <row r="864" spans="1:5" customFormat="1" ht="24.95" customHeight="1" x14ac:dyDescent="0.25">
      <c r="A864" s="241"/>
      <c r="B864" s="243"/>
      <c r="C864" s="241"/>
      <c r="D864" s="241"/>
      <c r="E864" s="241"/>
    </row>
    <row r="865" spans="1:5" customFormat="1" ht="24.95" customHeight="1" x14ac:dyDescent="0.25">
      <c r="A865" s="241"/>
      <c r="B865" s="243"/>
      <c r="C865" s="241"/>
      <c r="D865" s="241"/>
      <c r="E865" s="241"/>
    </row>
    <row r="866" spans="1:5" customFormat="1" ht="24.95" customHeight="1" x14ac:dyDescent="0.25">
      <c r="A866" s="241"/>
      <c r="B866" s="243"/>
      <c r="C866" s="241"/>
      <c r="D866" s="241"/>
      <c r="E866" s="241"/>
    </row>
    <row r="867" spans="1:5" customFormat="1" ht="24.95" customHeight="1" x14ac:dyDescent="0.25">
      <c r="A867" s="241"/>
      <c r="B867" s="243"/>
      <c r="C867" s="241"/>
      <c r="D867" s="241"/>
      <c r="E867" s="241"/>
    </row>
    <row r="868" spans="1:5" customFormat="1" ht="24.95" customHeight="1" x14ac:dyDescent="0.25">
      <c r="A868" s="241"/>
      <c r="B868" s="243"/>
      <c r="C868" s="241"/>
      <c r="D868" s="241"/>
      <c r="E868" s="241"/>
    </row>
    <row r="869" spans="1:5" customFormat="1" ht="24.95" customHeight="1" x14ac:dyDescent="0.25">
      <c r="A869" s="241"/>
      <c r="B869" s="243"/>
      <c r="C869" s="241"/>
      <c r="D869" s="241"/>
      <c r="E869" s="241"/>
    </row>
    <row r="870" spans="1:5" customFormat="1" ht="24.95" customHeight="1" x14ac:dyDescent="0.25">
      <c r="A870" s="241"/>
      <c r="B870" s="243"/>
      <c r="C870" s="241"/>
      <c r="D870" s="241"/>
      <c r="E870" s="241"/>
    </row>
    <row r="871" spans="1:5" customFormat="1" ht="24.95" customHeight="1" x14ac:dyDescent="0.25">
      <c r="A871" s="241"/>
      <c r="B871" s="243"/>
      <c r="C871" s="241"/>
      <c r="D871" s="241"/>
      <c r="E871" s="241"/>
    </row>
    <row r="872" spans="1:5" customFormat="1" ht="24.95" customHeight="1" x14ac:dyDescent="0.25">
      <c r="A872" s="241"/>
      <c r="B872" s="243"/>
      <c r="C872" s="241"/>
      <c r="D872" s="241"/>
      <c r="E872" s="241"/>
    </row>
    <row r="873" spans="1:5" customFormat="1" ht="24.95" customHeight="1" x14ac:dyDescent="0.25">
      <c r="A873" s="241"/>
      <c r="B873" s="243"/>
      <c r="C873" s="241"/>
      <c r="D873" s="241"/>
      <c r="E873" s="241"/>
    </row>
    <row r="874" spans="1:5" customFormat="1" ht="24.95" customHeight="1" x14ac:dyDescent="0.25">
      <c r="A874" s="241"/>
      <c r="B874" s="243"/>
      <c r="C874" s="241"/>
      <c r="D874" s="241"/>
      <c r="E874" s="241"/>
    </row>
    <row r="875" spans="1:5" customFormat="1" ht="24.95" customHeight="1" x14ac:dyDescent="0.25">
      <c r="A875" s="241"/>
      <c r="B875" s="243"/>
      <c r="C875" s="241"/>
      <c r="D875" s="241"/>
      <c r="E875" s="241"/>
    </row>
    <row r="876" spans="1:5" customFormat="1" ht="24.95" customHeight="1" x14ac:dyDescent="0.25">
      <c r="A876" s="241"/>
      <c r="B876" s="243"/>
      <c r="C876" s="241"/>
      <c r="D876" s="241"/>
      <c r="E876" s="241"/>
    </row>
    <row r="877" spans="1:5" customFormat="1" ht="24.95" customHeight="1" x14ac:dyDescent="0.25">
      <c r="A877" s="241"/>
      <c r="B877" s="243"/>
      <c r="C877" s="241"/>
      <c r="D877" s="241"/>
      <c r="E877" s="241"/>
    </row>
    <row r="878" spans="1:5" customFormat="1" ht="24.95" customHeight="1" x14ac:dyDescent="0.25">
      <c r="A878" s="241"/>
      <c r="B878" s="243"/>
      <c r="C878" s="241"/>
      <c r="D878" s="241"/>
      <c r="E878" s="241"/>
    </row>
    <row r="879" spans="1:5" customFormat="1" ht="24.95" customHeight="1" x14ac:dyDescent="0.25">
      <c r="A879" s="241"/>
      <c r="B879" s="243"/>
      <c r="C879" s="241"/>
      <c r="D879" s="241"/>
      <c r="E879" s="241"/>
    </row>
    <row r="880" spans="1:5" customFormat="1" ht="24.95" customHeight="1" x14ac:dyDescent="0.25">
      <c r="A880" s="241"/>
      <c r="B880" s="243"/>
      <c r="C880" s="241"/>
      <c r="D880" s="241"/>
      <c r="E880" s="241"/>
    </row>
    <row r="881" spans="1:5" customFormat="1" ht="24.95" customHeight="1" x14ac:dyDescent="0.25">
      <c r="A881" s="241"/>
      <c r="B881" s="243"/>
      <c r="C881" s="241"/>
      <c r="D881" s="241"/>
      <c r="E881" s="241"/>
    </row>
    <row r="882" spans="1:5" customFormat="1" ht="24.95" customHeight="1" x14ac:dyDescent="0.25">
      <c r="A882" s="241"/>
      <c r="B882" s="243"/>
      <c r="C882" s="241"/>
      <c r="D882" s="241"/>
      <c r="E882" s="241"/>
    </row>
    <row r="883" spans="1:5" customFormat="1" ht="24.95" customHeight="1" x14ac:dyDescent="0.25">
      <c r="A883" s="241"/>
      <c r="B883" s="243"/>
      <c r="C883" s="241"/>
      <c r="D883" s="241"/>
      <c r="E883" s="241"/>
    </row>
    <row r="884" spans="1:5" customFormat="1" ht="24.95" customHeight="1" x14ac:dyDescent="0.25">
      <c r="A884" s="241"/>
      <c r="B884" s="243"/>
      <c r="C884" s="241"/>
      <c r="D884" s="241"/>
      <c r="E884" s="241"/>
    </row>
    <row r="885" spans="1:5" customFormat="1" ht="24.95" customHeight="1" x14ac:dyDescent="0.25">
      <c r="A885" s="241"/>
      <c r="B885" s="243"/>
      <c r="C885" s="241"/>
      <c r="D885" s="241"/>
      <c r="E885" s="241"/>
    </row>
    <row r="886" spans="1:5" customFormat="1" ht="24.95" customHeight="1" x14ac:dyDescent="0.25">
      <c r="A886" s="241"/>
      <c r="B886" s="243"/>
      <c r="C886" s="241"/>
      <c r="D886" s="241"/>
      <c r="E886" s="241"/>
    </row>
    <row r="887" spans="1:5" customFormat="1" ht="24.95" customHeight="1" x14ac:dyDescent="0.25">
      <c r="A887" s="241"/>
      <c r="B887" s="243"/>
      <c r="C887" s="241"/>
      <c r="D887" s="241"/>
      <c r="E887" s="241"/>
    </row>
    <row r="888" spans="1:5" customFormat="1" ht="24.95" customHeight="1" x14ac:dyDescent="0.25">
      <c r="A888" s="241"/>
      <c r="B888" s="243"/>
      <c r="C888" s="241"/>
      <c r="D888" s="241"/>
      <c r="E888" s="241"/>
    </row>
    <row r="889" spans="1:5" customFormat="1" ht="24.95" customHeight="1" x14ac:dyDescent="0.25">
      <c r="A889" s="241"/>
      <c r="B889" s="243"/>
      <c r="C889" s="241"/>
      <c r="D889" s="241"/>
      <c r="E889" s="241"/>
    </row>
    <row r="890" spans="1:5" customFormat="1" ht="24.95" customHeight="1" x14ac:dyDescent="0.25">
      <c r="A890" s="241"/>
      <c r="B890" s="243"/>
      <c r="C890" s="241"/>
      <c r="D890" s="241"/>
      <c r="E890" s="241"/>
    </row>
    <row r="891" spans="1:5" customFormat="1" ht="24.95" customHeight="1" x14ac:dyDescent="0.25">
      <c r="A891" s="241"/>
      <c r="B891" s="243"/>
      <c r="C891" s="241"/>
      <c r="D891" s="241"/>
      <c r="E891" s="241"/>
    </row>
    <row r="892" spans="1:5" customFormat="1" ht="24.95" customHeight="1" x14ac:dyDescent="0.25">
      <c r="A892" s="241"/>
      <c r="B892" s="243"/>
      <c r="C892" s="241"/>
      <c r="D892" s="241"/>
      <c r="E892" s="241"/>
    </row>
    <row r="893" spans="1:5" customFormat="1" ht="24.95" customHeight="1" x14ac:dyDescent="0.25">
      <c r="A893" s="241"/>
      <c r="B893" s="243"/>
      <c r="C893" s="241"/>
      <c r="D893" s="241"/>
      <c r="E893" s="241"/>
    </row>
    <row r="894" spans="1:5" customFormat="1" ht="24.95" customHeight="1" x14ac:dyDescent="0.25">
      <c r="A894" s="241"/>
      <c r="B894" s="243"/>
      <c r="C894" s="241"/>
      <c r="D894" s="241"/>
      <c r="E894" s="241"/>
    </row>
    <row r="895" spans="1:5" customFormat="1" ht="24.95" customHeight="1" x14ac:dyDescent="0.25">
      <c r="A895" s="241"/>
      <c r="B895" s="243"/>
      <c r="C895" s="241"/>
      <c r="D895" s="241"/>
      <c r="E895" s="241"/>
    </row>
    <row r="896" spans="1:5" customFormat="1" ht="24.95" customHeight="1" x14ac:dyDescent="0.25">
      <c r="A896" s="241"/>
      <c r="B896" s="243"/>
      <c r="C896" s="241"/>
      <c r="D896" s="241"/>
      <c r="E896" s="241"/>
    </row>
    <row r="897" spans="1:5" customFormat="1" ht="24.95" customHeight="1" x14ac:dyDescent="0.25">
      <c r="A897" s="241"/>
      <c r="B897" s="243"/>
      <c r="C897" s="241"/>
      <c r="D897" s="241"/>
      <c r="E897" s="241"/>
    </row>
    <row r="898" spans="1:5" customFormat="1" ht="24.95" customHeight="1" x14ac:dyDescent="0.25">
      <c r="A898" s="241"/>
      <c r="B898" s="243"/>
      <c r="C898" s="241"/>
      <c r="D898" s="241"/>
      <c r="E898" s="241"/>
    </row>
    <row r="899" spans="1:5" customFormat="1" ht="24.95" customHeight="1" x14ac:dyDescent="0.25">
      <c r="A899" s="241"/>
      <c r="B899" s="243"/>
      <c r="C899" s="241"/>
      <c r="D899" s="241"/>
      <c r="E899" s="241"/>
    </row>
    <row r="900" spans="1:5" customFormat="1" ht="24.95" customHeight="1" x14ac:dyDescent="0.25">
      <c r="A900" s="241"/>
      <c r="B900" s="243"/>
      <c r="C900" s="241"/>
      <c r="D900" s="241"/>
      <c r="E900" s="241"/>
    </row>
    <row r="901" spans="1:5" customFormat="1" ht="24.95" customHeight="1" x14ac:dyDescent="0.25">
      <c r="A901" s="241"/>
      <c r="B901" s="243"/>
      <c r="C901" s="241"/>
      <c r="D901" s="241"/>
      <c r="E901" s="241"/>
    </row>
    <row r="902" spans="1:5" customFormat="1" ht="24.95" customHeight="1" x14ac:dyDescent="0.25">
      <c r="A902" s="241"/>
      <c r="B902" s="243"/>
      <c r="C902" s="241"/>
      <c r="D902" s="241"/>
      <c r="E902" s="241"/>
    </row>
    <row r="903" spans="1:5" customFormat="1" ht="24.95" customHeight="1" x14ac:dyDescent="0.25">
      <c r="A903" s="241"/>
      <c r="B903" s="243"/>
      <c r="C903" s="241"/>
      <c r="D903" s="241"/>
      <c r="E903" s="241"/>
    </row>
    <row r="904" spans="1:5" customFormat="1" ht="24.95" customHeight="1" x14ac:dyDescent="0.25">
      <c r="A904" s="241"/>
      <c r="B904" s="243"/>
      <c r="C904" s="241"/>
      <c r="D904" s="241"/>
      <c r="E904" s="241"/>
    </row>
    <row r="905" spans="1:5" customFormat="1" ht="24.95" customHeight="1" x14ac:dyDescent="0.25">
      <c r="A905" s="241"/>
      <c r="B905" s="243"/>
      <c r="C905" s="241"/>
      <c r="D905" s="241"/>
      <c r="E905" s="241"/>
    </row>
    <row r="906" spans="1:5" customFormat="1" ht="24.95" customHeight="1" x14ac:dyDescent="0.25">
      <c r="A906" s="241"/>
      <c r="B906" s="243"/>
      <c r="C906" s="241"/>
      <c r="D906" s="241"/>
      <c r="E906" s="241"/>
    </row>
    <row r="907" spans="1:5" customFormat="1" ht="24.95" customHeight="1" x14ac:dyDescent="0.25">
      <c r="A907" s="241"/>
      <c r="B907" s="243"/>
      <c r="C907" s="241"/>
      <c r="D907" s="241"/>
      <c r="E907" s="241"/>
    </row>
    <row r="908" spans="1:5" customFormat="1" ht="24.95" customHeight="1" x14ac:dyDescent="0.25">
      <c r="A908" s="241"/>
      <c r="B908" s="243"/>
      <c r="C908" s="241"/>
      <c r="D908" s="241"/>
      <c r="E908" s="241"/>
    </row>
    <row r="909" spans="1:5" customFormat="1" ht="24.95" customHeight="1" x14ac:dyDescent="0.25">
      <c r="A909" s="241"/>
      <c r="B909" s="243"/>
      <c r="C909" s="241"/>
      <c r="D909" s="241"/>
      <c r="E909" s="241"/>
    </row>
    <row r="910" spans="1:5" customFormat="1" ht="24.95" customHeight="1" x14ac:dyDescent="0.25">
      <c r="A910" s="241"/>
      <c r="B910" s="243"/>
      <c r="C910" s="241"/>
      <c r="D910" s="241"/>
      <c r="E910" s="241"/>
    </row>
    <row r="911" spans="1:5" customFormat="1" ht="24.95" customHeight="1" x14ac:dyDescent="0.25">
      <c r="A911" s="241"/>
      <c r="B911" s="243"/>
      <c r="C911" s="241"/>
      <c r="D911" s="241"/>
      <c r="E911" s="241"/>
    </row>
    <row r="912" spans="1:5" customFormat="1" ht="24.95" customHeight="1" x14ac:dyDescent="0.25">
      <c r="A912" s="241"/>
      <c r="B912" s="243"/>
      <c r="C912" s="241"/>
      <c r="D912" s="241"/>
      <c r="E912" s="241"/>
    </row>
    <row r="913" spans="1:5" customFormat="1" ht="24.95" customHeight="1" x14ac:dyDescent="0.25">
      <c r="A913" s="241"/>
      <c r="B913" s="243"/>
      <c r="C913" s="241"/>
      <c r="D913" s="241"/>
      <c r="E913" s="241"/>
    </row>
    <row r="914" spans="1:5" customFormat="1" ht="24.95" customHeight="1" x14ac:dyDescent="0.25">
      <c r="A914" s="241"/>
      <c r="B914" s="243"/>
      <c r="C914" s="241"/>
      <c r="D914" s="241"/>
      <c r="E914" s="241"/>
    </row>
    <row r="915" spans="1:5" customFormat="1" ht="24.95" customHeight="1" x14ac:dyDescent="0.25">
      <c r="A915" s="241"/>
      <c r="B915" s="243"/>
      <c r="C915" s="241"/>
      <c r="D915" s="241"/>
      <c r="E915" s="241"/>
    </row>
    <row r="916" spans="1:5" customFormat="1" ht="24.95" customHeight="1" x14ac:dyDescent="0.25">
      <c r="A916" s="241"/>
      <c r="B916" s="243"/>
      <c r="C916" s="241"/>
      <c r="D916" s="241"/>
      <c r="E916" s="241"/>
    </row>
    <row r="917" spans="1:5" customFormat="1" ht="24.95" customHeight="1" x14ac:dyDescent="0.25">
      <c r="A917" s="241"/>
      <c r="B917" s="243"/>
      <c r="C917" s="241"/>
      <c r="D917" s="241"/>
      <c r="E917" s="241"/>
    </row>
    <row r="918" spans="1:5" customFormat="1" ht="24.95" customHeight="1" x14ac:dyDescent="0.25">
      <c r="A918" s="241"/>
      <c r="B918" s="243"/>
      <c r="C918" s="241"/>
      <c r="D918" s="241"/>
      <c r="E918" s="241"/>
    </row>
    <row r="919" spans="1:5" customFormat="1" ht="24.95" customHeight="1" x14ac:dyDescent="0.25">
      <c r="A919" s="241"/>
      <c r="B919" s="243"/>
      <c r="C919" s="241"/>
      <c r="D919" s="241"/>
      <c r="E919" s="241"/>
    </row>
    <row r="920" spans="1:5" customFormat="1" ht="24.95" customHeight="1" x14ac:dyDescent="0.25">
      <c r="A920" s="241"/>
      <c r="B920" s="243"/>
      <c r="C920" s="241"/>
      <c r="D920" s="241"/>
      <c r="E920" s="241"/>
    </row>
    <row r="921" spans="1:5" customFormat="1" ht="24.95" customHeight="1" x14ac:dyDescent="0.25">
      <c r="A921" s="241"/>
      <c r="B921" s="243"/>
      <c r="C921" s="241"/>
      <c r="D921" s="241"/>
      <c r="E921" s="241"/>
    </row>
    <row r="922" spans="1:5" customFormat="1" ht="24.95" customHeight="1" x14ac:dyDescent="0.25">
      <c r="A922" s="241"/>
      <c r="B922" s="243"/>
      <c r="C922" s="241"/>
      <c r="D922" s="241"/>
      <c r="E922" s="241"/>
    </row>
    <row r="923" spans="1:5" customFormat="1" ht="24.95" customHeight="1" x14ac:dyDescent="0.25">
      <c r="A923" s="241"/>
      <c r="B923" s="243"/>
      <c r="C923" s="241"/>
      <c r="D923" s="241"/>
      <c r="E923" s="241"/>
    </row>
    <row r="924" spans="1:5" customFormat="1" ht="24.95" customHeight="1" x14ac:dyDescent="0.25">
      <c r="A924" s="241"/>
      <c r="B924" s="243"/>
      <c r="C924" s="241"/>
      <c r="D924" s="241"/>
      <c r="E924" s="241"/>
    </row>
    <row r="925" spans="1:5" customFormat="1" ht="24.95" customHeight="1" x14ac:dyDescent="0.25">
      <c r="A925" s="241"/>
      <c r="B925" s="243"/>
      <c r="C925" s="241"/>
      <c r="D925" s="241"/>
      <c r="E925" s="241"/>
    </row>
    <row r="926" spans="1:5" customFormat="1" ht="24.95" customHeight="1" x14ac:dyDescent="0.25">
      <c r="A926" s="241"/>
      <c r="B926" s="243"/>
      <c r="C926" s="241"/>
      <c r="D926" s="241"/>
      <c r="E926" s="241"/>
    </row>
    <row r="927" spans="1:5" customFormat="1" ht="24.95" customHeight="1" x14ac:dyDescent="0.25">
      <c r="A927" s="241"/>
      <c r="B927" s="243"/>
      <c r="C927" s="241"/>
      <c r="D927" s="241"/>
      <c r="E927" s="241"/>
    </row>
    <row r="928" spans="1:5" customFormat="1" ht="24.95" customHeight="1" x14ac:dyDescent="0.25">
      <c r="A928" s="241"/>
      <c r="B928" s="243"/>
      <c r="C928" s="241"/>
      <c r="D928" s="241"/>
      <c r="E928" s="241"/>
    </row>
    <row r="929" spans="1:5" customFormat="1" ht="24.95" customHeight="1" x14ac:dyDescent="0.25">
      <c r="A929" s="241"/>
      <c r="B929" s="243"/>
      <c r="C929" s="241"/>
      <c r="D929" s="241"/>
      <c r="E929" s="241"/>
    </row>
    <row r="930" spans="1:5" customFormat="1" ht="24.95" customHeight="1" x14ac:dyDescent="0.25">
      <c r="A930" s="241"/>
      <c r="B930" s="243"/>
      <c r="C930" s="241"/>
      <c r="D930" s="241"/>
      <c r="E930" s="241"/>
    </row>
    <row r="931" spans="1:5" customFormat="1" ht="24.95" customHeight="1" x14ac:dyDescent="0.25">
      <c r="A931" s="241"/>
      <c r="B931" s="243"/>
      <c r="C931" s="241"/>
      <c r="D931" s="241"/>
      <c r="E931" s="241"/>
    </row>
    <row r="932" spans="1:5" customFormat="1" ht="24.95" customHeight="1" x14ac:dyDescent="0.25">
      <c r="A932" s="241"/>
      <c r="B932" s="243"/>
      <c r="C932" s="241"/>
      <c r="D932" s="241"/>
      <c r="E932" s="241"/>
    </row>
    <row r="933" spans="1:5" customFormat="1" ht="24.95" customHeight="1" x14ac:dyDescent="0.25">
      <c r="A933" s="241"/>
      <c r="B933" s="243"/>
      <c r="C933" s="241"/>
      <c r="D933" s="241"/>
      <c r="E933" s="241"/>
    </row>
    <row r="934" spans="1:5" customFormat="1" ht="24.95" customHeight="1" x14ac:dyDescent="0.25">
      <c r="A934" s="241"/>
      <c r="B934" s="243"/>
      <c r="C934" s="241"/>
      <c r="D934" s="241"/>
      <c r="E934" s="241"/>
    </row>
    <row r="935" spans="1:5" customFormat="1" ht="24.95" customHeight="1" x14ac:dyDescent="0.25">
      <c r="A935" s="241"/>
      <c r="B935" s="243"/>
      <c r="C935" s="241"/>
      <c r="D935" s="241"/>
      <c r="E935" s="241"/>
    </row>
    <row r="936" spans="1:5" customFormat="1" ht="24.95" customHeight="1" x14ac:dyDescent="0.25">
      <c r="A936" s="241"/>
      <c r="B936" s="243"/>
      <c r="C936" s="241"/>
      <c r="D936" s="241"/>
      <c r="E936" s="241"/>
    </row>
    <row r="937" spans="1:5" customFormat="1" ht="24.95" customHeight="1" x14ac:dyDescent="0.25">
      <c r="A937" s="241"/>
      <c r="B937" s="243"/>
      <c r="C937" s="241"/>
      <c r="D937" s="241"/>
      <c r="E937" s="241"/>
    </row>
    <row r="938" spans="1:5" customFormat="1" ht="24.95" customHeight="1" x14ac:dyDescent="0.25">
      <c r="A938" s="241"/>
      <c r="B938" s="243"/>
      <c r="C938" s="241"/>
      <c r="D938" s="241"/>
      <c r="E938" s="241"/>
    </row>
    <row r="939" spans="1:5" customFormat="1" ht="24.95" customHeight="1" x14ac:dyDescent="0.25">
      <c r="A939" s="241"/>
      <c r="B939" s="243"/>
      <c r="C939" s="241"/>
      <c r="D939" s="241"/>
      <c r="E939" s="241"/>
    </row>
    <row r="940" spans="1:5" customFormat="1" ht="24.95" customHeight="1" x14ac:dyDescent="0.25">
      <c r="A940" s="241"/>
      <c r="B940" s="243"/>
      <c r="C940" s="241"/>
      <c r="D940" s="241"/>
      <c r="E940" s="241"/>
    </row>
    <row r="941" spans="1:5" customFormat="1" ht="24.95" customHeight="1" x14ac:dyDescent="0.25">
      <c r="A941" s="241"/>
      <c r="B941" s="243"/>
      <c r="C941" s="241"/>
      <c r="D941" s="241"/>
      <c r="E941" s="241"/>
    </row>
    <row r="942" spans="1:5" customFormat="1" ht="24.95" customHeight="1" x14ac:dyDescent="0.25">
      <c r="A942" s="241"/>
      <c r="B942" s="243"/>
      <c r="C942" s="241"/>
      <c r="D942" s="241"/>
      <c r="E942" s="241"/>
    </row>
    <row r="943" spans="1:5" customFormat="1" ht="24.95" customHeight="1" x14ac:dyDescent="0.25">
      <c r="A943" s="241"/>
      <c r="B943" s="243"/>
      <c r="C943" s="241"/>
      <c r="D943" s="241"/>
      <c r="E943" s="241"/>
    </row>
    <row r="944" spans="1:5" customFormat="1" ht="24.95" customHeight="1" x14ac:dyDescent="0.25">
      <c r="A944" s="241"/>
      <c r="B944" s="243"/>
      <c r="C944" s="241"/>
      <c r="D944" s="241"/>
      <c r="E944" s="241"/>
    </row>
    <row r="945" spans="1:5" customFormat="1" ht="24.95" customHeight="1" x14ac:dyDescent="0.25">
      <c r="A945" s="241"/>
      <c r="B945" s="243"/>
      <c r="C945" s="241"/>
      <c r="D945" s="241"/>
      <c r="E945" s="241"/>
    </row>
    <row r="946" spans="1:5" customFormat="1" ht="24.95" customHeight="1" x14ac:dyDescent="0.25">
      <c r="A946" s="241"/>
      <c r="B946" s="243"/>
      <c r="C946" s="241"/>
      <c r="D946" s="241"/>
      <c r="E946" s="241"/>
    </row>
    <row r="947" spans="1:5" customFormat="1" ht="24.95" customHeight="1" x14ac:dyDescent="0.25">
      <c r="A947" s="241"/>
      <c r="B947" s="243"/>
      <c r="C947" s="241"/>
      <c r="D947" s="241"/>
      <c r="E947" s="241"/>
    </row>
    <row r="948" spans="1:5" customFormat="1" ht="24.95" customHeight="1" x14ac:dyDescent="0.25">
      <c r="A948" s="241"/>
      <c r="B948" s="243"/>
      <c r="C948" s="241"/>
      <c r="D948" s="241"/>
      <c r="E948" s="241"/>
    </row>
    <row r="949" spans="1:5" customFormat="1" ht="24.95" customHeight="1" x14ac:dyDescent="0.25">
      <c r="A949" s="241"/>
      <c r="B949" s="243"/>
      <c r="C949" s="241"/>
      <c r="D949" s="241"/>
      <c r="E949" s="241"/>
    </row>
    <row r="950" spans="1:5" customFormat="1" ht="24.95" customHeight="1" x14ac:dyDescent="0.25">
      <c r="A950" s="241"/>
      <c r="B950" s="243"/>
      <c r="C950" s="241"/>
      <c r="D950" s="241"/>
      <c r="E950" s="241"/>
    </row>
    <row r="951" spans="1:5" customFormat="1" ht="24.95" customHeight="1" x14ac:dyDescent="0.25">
      <c r="A951" s="241"/>
      <c r="B951" s="243"/>
      <c r="C951" s="241"/>
      <c r="D951" s="241"/>
      <c r="E951" s="241"/>
    </row>
    <row r="952" spans="1:5" customFormat="1" ht="24.95" customHeight="1" x14ac:dyDescent="0.25">
      <c r="A952" s="241"/>
      <c r="B952" s="243"/>
      <c r="C952" s="241"/>
      <c r="D952" s="241"/>
      <c r="E952" s="241"/>
    </row>
    <row r="953" spans="1:5" customFormat="1" ht="24.95" customHeight="1" x14ac:dyDescent="0.25">
      <c r="A953" s="241"/>
      <c r="B953" s="243"/>
      <c r="C953" s="241"/>
      <c r="D953" s="241"/>
      <c r="E953" s="241"/>
    </row>
    <row r="954" spans="1:5" customFormat="1" ht="24.95" customHeight="1" x14ac:dyDescent="0.25">
      <c r="A954" s="241"/>
      <c r="B954" s="243"/>
      <c r="C954" s="241"/>
      <c r="D954" s="241"/>
      <c r="E954" s="241"/>
    </row>
    <row r="955" spans="1:5" customFormat="1" ht="24.95" customHeight="1" x14ac:dyDescent="0.25">
      <c r="A955" s="241"/>
      <c r="B955" s="243"/>
      <c r="C955" s="241"/>
      <c r="D955" s="241"/>
      <c r="E955" s="241"/>
    </row>
    <row r="956" spans="1:5" customFormat="1" ht="24.95" customHeight="1" x14ac:dyDescent="0.25">
      <c r="A956" s="241"/>
      <c r="B956" s="243"/>
      <c r="C956" s="241"/>
      <c r="D956" s="241"/>
      <c r="E956" s="241"/>
    </row>
    <row r="957" spans="1:5" customFormat="1" ht="24.95" customHeight="1" x14ac:dyDescent="0.25">
      <c r="A957" s="241"/>
      <c r="B957" s="243"/>
      <c r="C957" s="241"/>
      <c r="D957" s="241"/>
      <c r="E957" s="241"/>
    </row>
    <row r="958" spans="1:5" customFormat="1" ht="24.95" customHeight="1" x14ac:dyDescent="0.25">
      <c r="A958" s="241"/>
      <c r="B958" s="243"/>
      <c r="C958" s="241"/>
      <c r="D958" s="241"/>
      <c r="E958" s="241"/>
    </row>
    <row r="959" spans="1:5" customFormat="1" ht="24.95" customHeight="1" x14ac:dyDescent="0.25">
      <c r="A959" s="241"/>
      <c r="B959" s="243"/>
      <c r="C959" s="241"/>
      <c r="D959" s="241"/>
      <c r="E959" s="241"/>
    </row>
    <row r="960" spans="1:5" customFormat="1" ht="24.95" customHeight="1" x14ac:dyDescent="0.25">
      <c r="A960" s="241"/>
      <c r="B960" s="243"/>
      <c r="C960" s="241"/>
      <c r="D960" s="241"/>
      <c r="E960" s="241"/>
    </row>
    <row r="961" spans="1:5" customFormat="1" ht="24.95" customHeight="1" x14ac:dyDescent="0.25">
      <c r="A961" s="241"/>
      <c r="B961" s="243"/>
      <c r="C961" s="241"/>
      <c r="D961" s="241"/>
      <c r="E961" s="241"/>
    </row>
    <row r="962" spans="1:5" customFormat="1" ht="24.95" customHeight="1" x14ac:dyDescent="0.25">
      <c r="A962" s="241"/>
      <c r="B962" s="243"/>
      <c r="C962" s="241"/>
      <c r="D962" s="241"/>
      <c r="E962" s="241"/>
    </row>
    <row r="963" spans="1:5" customFormat="1" ht="24.95" customHeight="1" x14ac:dyDescent="0.25">
      <c r="A963" s="241"/>
      <c r="B963" s="243"/>
      <c r="C963" s="241"/>
      <c r="D963" s="241"/>
      <c r="E963" s="241"/>
    </row>
    <row r="964" spans="1:5" customFormat="1" ht="24.95" customHeight="1" x14ac:dyDescent="0.25">
      <c r="A964" s="241"/>
      <c r="B964" s="243"/>
      <c r="C964" s="241"/>
      <c r="D964" s="241"/>
      <c r="E964" s="241"/>
    </row>
    <row r="965" spans="1:5" customFormat="1" ht="24.95" customHeight="1" x14ac:dyDescent="0.25">
      <c r="A965" s="241"/>
      <c r="B965" s="243"/>
      <c r="C965" s="241"/>
      <c r="D965" s="241"/>
      <c r="E965" s="241"/>
    </row>
    <row r="966" spans="1:5" customFormat="1" ht="24.95" customHeight="1" x14ac:dyDescent="0.25">
      <c r="A966" s="241"/>
      <c r="B966" s="243"/>
      <c r="C966" s="241"/>
      <c r="D966" s="241"/>
      <c r="E966" s="241"/>
    </row>
    <row r="967" spans="1:5" customFormat="1" ht="24.95" customHeight="1" x14ac:dyDescent="0.25">
      <c r="A967" s="241"/>
      <c r="B967" s="243"/>
      <c r="C967" s="241"/>
      <c r="D967" s="241"/>
      <c r="E967" s="241"/>
    </row>
    <row r="968" spans="1:5" customFormat="1" ht="24.95" customHeight="1" x14ac:dyDescent="0.25">
      <c r="A968" s="241"/>
      <c r="B968" s="243"/>
      <c r="C968" s="241"/>
      <c r="D968" s="241"/>
      <c r="E968" s="241"/>
    </row>
    <row r="969" spans="1:5" customFormat="1" ht="24.95" customHeight="1" x14ac:dyDescent="0.25">
      <c r="A969" s="241"/>
      <c r="B969" s="243"/>
      <c r="C969" s="241"/>
      <c r="D969" s="241"/>
      <c r="E969" s="241"/>
    </row>
    <row r="970" spans="1:5" customFormat="1" ht="24.95" customHeight="1" x14ac:dyDescent="0.25">
      <c r="A970" s="241"/>
      <c r="B970" s="243"/>
      <c r="C970" s="241"/>
      <c r="D970" s="241"/>
      <c r="E970" s="241"/>
    </row>
    <row r="971" spans="1:5" customFormat="1" ht="24.95" customHeight="1" x14ac:dyDescent="0.25">
      <c r="A971" s="241"/>
      <c r="B971" s="243"/>
      <c r="C971" s="241"/>
      <c r="D971" s="241"/>
      <c r="E971" s="241"/>
    </row>
    <row r="972" spans="1:5" customFormat="1" ht="24.95" customHeight="1" x14ac:dyDescent="0.25">
      <c r="A972" s="241"/>
      <c r="B972" s="243"/>
      <c r="C972" s="241"/>
      <c r="D972" s="241"/>
      <c r="E972" s="241"/>
    </row>
    <row r="973" spans="1:5" customFormat="1" ht="24.95" customHeight="1" x14ac:dyDescent="0.25">
      <c r="A973" s="241"/>
      <c r="B973" s="243"/>
      <c r="C973" s="241"/>
      <c r="D973" s="241"/>
      <c r="E973" s="241"/>
    </row>
    <row r="974" spans="1:5" customFormat="1" ht="24.95" customHeight="1" x14ac:dyDescent="0.25">
      <c r="A974" s="241"/>
      <c r="B974" s="243"/>
      <c r="C974" s="241"/>
      <c r="D974" s="241"/>
      <c r="E974" s="241"/>
    </row>
    <row r="975" spans="1:5" customFormat="1" ht="24.95" customHeight="1" x14ac:dyDescent="0.25">
      <c r="A975" s="241"/>
      <c r="B975" s="243"/>
      <c r="C975" s="241"/>
      <c r="D975" s="241"/>
      <c r="E975" s="241"/>
    </row>
    <row r="976" spans="1:5" customFormat="1" ht="24.95" customHeight="1" x14ac:dyDescent="0.25">
      <c r="A976" s="241"/>
      <c r="B976" s="243"/>
      <c r="C976" s="241"/>
      <c r="D976" s="241"/>
      <c r="E976" s="241"/>
    </row>
    <row r="977" spans="1:5" customFormat="1" ht="24.95" customHeight="1" x14ac:dyDescent="0.25">
      <c r="A977" s="241"/>
      <c r="B977" s="243"/>
      <c r="C977" s="241"/>
      <c r="D977" s="241"/>
      <c r="E977" s="241"/>
    </row>
    <row r="978" spans="1:5" customFormat="1" ht="24.95" customHeight="1" x14ac:dyDescent="0.25">
      <c r="A978" s="241"/>
      <c r="B978" s="243"/>
      <c r="C978" s="241"/>
      <c r="D978" s="241"/>
      <c r="E978" s="241"/>
    </row>
    <row r="979" spans="1:5" customFormat="1" ht="24.95" customHeight="1" x14ac:dyDescent="0.25">
      <c r="A979" s="241"/>
      <c r="B979" s="243"/>
      <c r="C979" s="241"/>
      <c r="D979" s="241"/>
      <c r="E979" s="241"/>
    </row>
    <row r="980" spans="1:5" customFormat="1" ht="24.95" customHeight="1" x14ac:dyDescent="0.25">
      <c r="A980" s="241"/>
      <c r="B980" s="243"/>
      <c r="C980" s="241"/>
      <c r="D980" s="241"/>
      <c r="E980" s="241"/>
    </row>
    <row r="981" spans="1:5" customFormat="1" ht="24.95" customHeight="1" x14ac:dyDescent="0.25">
      <c r="A981" s="241"/>
      <c r="B981" s="243"/>
      <c r="C981" s="241"/>
      <c r="D981" s="241"/>
      <c r="E981" s="241"/>
    </row>
    <row r="982" spans="1:5" customFormat="1" ht="24.95" customHeight="1" x14ac:dyDescent="0.25">
      <c r="A982" s="241"/>
      <c r="B982" s="243"/>
      <c r="C982" s="241"/>
      <c r="D982" s="241"/>
      <c r="E982" s="241"/>
    </row>
    <row r="983" spans="1:5" customFormat="1" ht="24.95" customHeight="1" x14ac:dyDescent="0.25">
      <c r="A983" s="241"/>
      <c r="B983" s="243"/>
      <c r="C983" s="241"/>
      <c r="D983" s="241"/>
      <c r="E983" s="241"/>
    </row>
    <row r="984" spans="1:5" customFormat="1" ht="24.95" customHeight="1" x14ac:dyDescent="0.25">
      <c r="A984" s="241"/>
      <c r="B984" s="243"/>
      <c r="C984" s="241"/>
      <c r="D984" s="241"/>
      <c r="E984" s="241"/>
    </row>
    <row r="985" spans="1:5" customFormat="1" ht="24.95" customHeight="1" x14ac:dyDescent="0.25">
      <c r="A985" s="241"/>
      <c r="B985" s="243"/>
      <c r="C985" s="241"/>
      <c r="D985" s="241"/>
      <c r="E985" s="241"/>
    </row>
    <row r="986" spans="1:5" customFormat="1" ht="24.95" customHeight="1" x14ac:dyDescent="0.25">
      <c r="A986" s="241"/>
      <c r="B986" s="243"/>
      <c r="C986" s="241"/>
      <c r="D986" s="241"/>
      <c r="E986" s="241"/>
    </row>
    <row r="987" spans="1:5" customFormat="1" ht="24.95" customHeight="1" x14ac:dyDescent="0.25">
      <c r="A987" s="241"/>
      <c r="B987" s="243"/>
      <c r="C987" s="241"/>
      <c r="D987" s="241"/>
      <c r="E987" s="241"/>
    </row>
    <row r="988" spans="1:5" customFormat="1" ht="24.95" customHeight="1" x14ac:dyDescent="0.25">
      <c r="A988" s="241"/>
      <c r="B988" s="243"/>
      <c r="C988" s="241"/>
      <c r="D988" s="241"/>
      <c r="E988" s="241"/>
    </row>
    <row r="989" spans="1:5" customFormat="1" ht="24.95" customHeight="1" x14ac:dyDescent="0.25">
      <c r="A989" s="241"/>
      <c r="B989" s="243"/>
      <c r="C989" s="241"/>
      <c r="D989" s="241"/>
      <c r="E989" s="241"/>
    </row>
    <row r="990" spans="1:5" customFormat="1" ht="24.95" customHeight="1" x14ac:dyDescent="0.25">
      <c r="A990" s="241"/>
      <c r="B990" s="243"/>
      <c r="C990" s="241"/>
      <c r="D990" s="241"/>
      <c r="E990" s="241"/>
    </row>
    <row r="991" spans="1:5" customFormat="1" ht="24.95" customHeight="1" x14ac:dyDescent="0.25">
      <c r="A991" s="241"/>
      <c r="B991" s="243"/>
      <c r="C991" s="241"/>
      <c r="D991" s="241"/>
      <c r="E991" s="241"/>
    </row>
    <row r="992" spans="1:5" customFormat="1" ht="24.95" customHeight="1" x14ac:dyDescent="0.25">
      <c r="A992" s="241"/>
      <c r="B992" s="243"/>
      <c r="C992" s="241"/>
      <c r="D992" s="241"/>
      <c r="E992" s="241"/>
    </row>
    <row r="993" spans="1:5" customFormat="1" ht="24.95" customHeight="1" x14ac:dyDescent="0.25">
      <c r="A993" s="241"/>
      <c r="B993" s="243"/>
      <c r="C993" s="241"/>
      <c r="D993" s="241"/>
      <c r="E993" s="241"/>
    </row>
    <row r="994" spans="1:5" customFormat="1" ht="24.95" customHeight="1" x14ac:dyDescent="0.25">
      <c r="A994" s="241"/>
      <c r="B994" s="243"/>
      <c r="C994" s="241"/>
      <c r="D994" s="241"/>
      <c r="E994" s="241"/>
    </row>
    <row r="995" spans="1:5" customFormat="1" ht="24.95" customHeight="1" x14ac:dyDescent="0.25">
      <c r="A995" s="241"/>
      <c r="B995" s="243"/>
      <c r="C995" s="241"/>
      <c r="D995" s="241"/>
      <c r="E995" s="241"/>
    </row>
    <row r="996" spans="1:5" customFormat="1" ht="24.95" customHeight="1" x14ac:dyDescent="0.25">
      <c r="A996" s="241"/>
      <c r="B996" s="243"/>
      <c r="C996" s="241"/>
      <c r="D996" s="241"/>
      <c r="E996" s="241"/>
    </row>
    <row r="997" spans="1:5" customFormat="1" ht="24.95" customHeight="1" x14ac:dyDescent="0.25">
      <c r="A997" s="241"/>
      <c r="B997" s="243"/>
      <c r="C997" s="241"/>
      <c r="D997" s="241"/>
      <c r="E997" s="241"/>
    </row>
    <row r="998" spans="1:5" customFormat="1" ht="24.95" customHeight="1" x14ac:dyDescent="0.25">
      <c r="A998" s="241"/>
      <c r="B998" s="243"/>
      <c r="C998" s="241"/>
      <c r="D998" s="241"/>
      <c r="E998" s="241"/>
    </row>
    <row r="999" spans="1:5" customFormat="1" ht="24.95" customHeight="1" x14ac:dyDescent="0.25">
      <c r="A999" s="241"/>
      <c r="B999" s="243"/>
      <c r="C999" s="241"/>
      <c r="D999" s="241"/>
      <c r="E999" s="241"/>
    </row>
    <row r="1000" spans="1:5" customFormat="1" ht="24.95" customHeight="1" x14ac:dyDescent="0.25">
      <c r="A1000" s="241"/>
      <c r="B1000" s="243"/>
      <c r="C1000" s="241"/>
      <c r="D1000" s="241"/>
      <c r="E1000" s="241"/>
    </row>
    <row r="1001" spans="1:5" customFormat="1" ht="24.95" customHeight="1" x14ac:dyDescent="0.25">
      <c r="A1001" s="241"/>
      <c r="B1001" s="243"/>
      <c r="C1001" s="241"/>
      <c r="D1001" s="241"/>
      <c r="E1001" s="241"/>
    </row>
    <row r="1002" spans="1:5" customFormat="1" ht="24.95" customHeight="1" x14ac:dyDescent="0.25">
      <c r="A1002" s="241"/>
      <c r="B1002" s="243"/>
      <c r="C1002" s="241"/>
      <c r="D1002" s="241"/>
      <c r="E1002" s="241"/>
    </row>
    <row r="1003" spans="1:5" customFormat="1" ht="24.95" customHeight="1" x14ac:dyDescent="0.25">
      <c r="A1003" s="241"/>
      <c r="B1003" s="243"/>
      <c r="C1003" s="241"/>
      <c r="D1003" s="241"/>
      <c r="E1003" s="241"/>
    </row>
    <row r="1004" spans="1:5" customFormat="1" ht="24.95" customHeight="1" x14ac:dyDescent="0.25">
      <c r="A1004" s="241"/>
      <c r="B1004" s="243"/>
      <c r="C1004" s="241"/>
      <c r="D1004" s="241"/>
      <c r="E1004" s="241"/>
    </row>
    <row r="1005" spans="1:5" customFormat="1" ht="24.95" customHeight="1" x14ac:dyDescent="0.25">
      <c r="A1005" s="241"/>
      <c r="B1005" s="243"/>
      <c r="C1005" s="241"/>
      <c r="D1005" s="241"/>
      <c r="E1005" s="241"/>
    </row>
    <row r="1006" spans="1:5" customFormat="1" ht="24.95" customHeight="1" x14ac:dyDescent="0.25">
      <c r="A1006" s="241"/>
      <c r="B1006" s="243"/>
      <c r="C1006" s="241"/>
      <c r="D1006" s="241"/>
      <c r="E1006" s="241"/>
    </row>
    <row r="1007" spans="1:5" customFormat="1" ht="24.95" customHeight="1" x14ac:dyDescent="0.25">
      <c r="A1007" s="241"/>
      <c r="B1007" s="243"/>
      <c r="C1007" s="241"/>
      <c r="D1007" s="241"/>
      <c r="E1007" s="241"/>
    </row>
    <row r="1008" spans="1:5" customFormat="1" ht="24.95" customHeight="1" x14ac:dyDescent="0.25">
      <c r="A1008" s="241"/>
      <c r="B1008" s="243"/>
      <c r="C1008" s="241"/>
      <c r="D1008" s="241"/>
      <c r="E1008" s="241"/>
    </row>
    <row r="1009" spans="1:5" customFormat="1" ht="24.95" customHeight="1" x14ac:dyDescent="0.25">
      <c r="A1009" s="241"/>
      <c r="B1009" s="243"/>
      <c r="C1009" s="241"/>
      <c r="D1009" s="241"/>
      <c r="E1009" s="241"/>
    </row>
    <row r="1010" spans="1:5" customFormat="1" ht="24.95" customHeight="1" x14ac:dyDescent="0.25">
      <c r="A1010" s="241"/>
      <c r="B1010" s="243"/>
      <c r="C1010" s="241"/>
      <c r="D1010" s="241"/>
      <c r="E1010" s="241"/>
    </row>
    <row r="1011" spans="1:5" customFormat="1" ht="24.95" customHeight="1" x14ac:dyDescent="0.25">
      <c r="A1011" s="241"/>
      <c r="B1011" s="243"/>
      <c r="C1011" s="241"/>
      <c r="D1011" s="241"/>
      <c r="E1011" s="241"/>
    </row>
    <row r="1012" spans="1:5" customFormat="1" ht="24.95" customHeight="1" x14ac:dyDescent="0.25">
      <c r="A1012" s="241"/>
      <c r="B1012" s="243"/>
      <c r="C1012" s="241"/>
      <c r="D1012" s="241"/>
      <c r="E1012" s="241"/>
    </row>
    <row r="1013" spans="1:5" customFormat="1" ht="24.95" customHeight="1" x14ac:dyDescent="0.25">
      <c r="A1013" s="241"/>
      <c r="B1013" s="243"/>
      <c r="C1013" s="241"/>
      <c r="D1013" s="241"/>
      <c r="E1013" s="241"/>
    </row>
    <row r="1014" spans="1:5" customFormat="1" ht="24.95" customHeight="1" x14ac:dyDescent="0.25">
      <c r="A1014" s="241"/>
      <c r="B1014" s="243"/>
      <c r="C1014" s="241"/>
      <c r="D1014" s="241"/>
      <c r="E1014" s="241"/>
    </row>
    <row r="1015" spans="1:5" customFormat="1" ht="24.95" customHeight="1" x14ac:dyDescent="0.25">
      <c r="A1015" s="241"/>
      <c r="B1015" s="243"/>
      <c r="C1015" s="241"/>
      <c r="D1015" s="241"/>
      <c r="E1015" s="241"/>
    </row>
    <row r="1016" spans="1:5" customFormat="1" ht="24.95" customHeight="1" x14ac:dyDescent="0.25">
      <c r="A1016" s="241"/>
      <c r="B1016" s="243"/>
      <c r="C1016" s="241"/>
      <c r="D1016" s="241"/>
      <c r="E1016" s="241"/>
    </row>
    <row r="1017" spans="1:5" customFormat="1" ht="24.95" customHeight="1" x14ac:dyDescent="0.25">
      <c r="A1017" s="241"/>
      <c r="B1017" s="243"/>
      <c r="C1017" s="241"/>
      <c r="D1017" s="241"/>
      <c r="E1017" s="241"/>
    </row>
    <row r="1018" spans="1:5" customFormat="1" ht="24.95" customHeight="1" x14ac:dyDescent="0.25">
      <c r="A1018" s="241"/>
      <c r="B1018" s="243"/>
      <c r="C1018" s="241"/>
      <c r="D1018" s="241"/>
      <c r="E1018" s="241"/>
    </row>
    <row r="1019" spans="1:5" customFormat="1" ht="24.95" customHeight="1" x14ac:dyDescent="0.25">
      <c r="A1019" s="241"/>
      <c r="B1019" s="243"/>
      <c r="C1019" s="241"/>
      <c r="D1019" s="241"/>
      <c r="E1019" s="241"/>
    </row>
    <row r="1020" spans="1:5" customFormat="1" ht="24.95" customHeight="1" x14ac:dyDescent="0.25">
      <c r="A1020" s="241"/>
      <c r="B1020" s="243"/>
      <c r="C1020" s="241"/>
      <c r="D1020" s="241"/>
      <c r="E1020" s="241"/>
    </row>
    <row r="1021" spans="1:5" customFormat="1" ht="24.95" customHeight="1" x14ac:dyDescent="0.25">
      <c r="A1021" s="241"/>
      <c r="B1021" s="243"/>
      <c r="C1021" s="241"/>
      <c r="D1021" s="241"/>
      <c r="E1021" s="241"/>
    </row>
    <row r="1022" spans="1:5" customFormat="1" ht="24.95" customHeight="1" x14ac:dyDescent="0.25">
      <c r="A1022" s="241"/>
      <c r="B1022" s="243"/>
      <c r="C1022" s="241"/>
      <c r="D1022" s="241"/>
      <c r="E1022" s="241"/>
    </row>
    <row r="1023" spans="1:5" customFormat="1" ht="24.95" customHeight="1" x14ac:dyDescent="0.25">
      <c r="A1023" s="241"/>
      <c r="B1023" s="243"/>
      <c r="C1023" s="241"/>
      <c r="D1023" s="241"/>
      <c r="E1023" s="241"/>
    </row>
    <row r="1024" spans="1:5" customFormat="1" ht="24.95" customHeight="1" x14ac:dyDescent="0.25">
      <c r="A1024" s="241"/>
      <c r="B1024" s="243"/>
      <c r="C1024" s="241"/>
      <c r="D1024" s="241"/>
      <c r="E1024" s="241"/>
    </row>
    <row r="1025" spans="1:5" customFormat="1" ht="24.95" customHeight="1" x14ac:dyDescent="0.25">
      <c r="A1025" s="241"/>
      <c r="B1025" s="243"/>
      <c r="C1025" s="241"/>
      <c r="D1025" s="241"/>
      <c r="E1025" s="241"/>
    </row>
    <row r="1026" spans="1:5" customFormat="1" ht="24.95" customHeight="1" x14ac:dyDescent="0.25">
      <c r="A1026" s="241"/>
      <c r="B1026" s="243"/>
      <c r="C1026" s="241"/>
      <c r="D1026" s="241"/>
      <c r="E1026" s="241"/>
    </row>
    <row r="1027" spans="1:5" customFormat="1" ht="24.95" customHeight="1" x14ac:dyDescent="0.25">
      <c r="A1027" s="241"/>
      <c r="B1027" s="243"/>
      <c r="C1027" s="241"/>
      <c r="D1027" s="241"/>
      <c r="E1027" s="241"/>
    </row>
    <row r="1028" spans="1:5" customFormat="1" ht="24.95" customHeight="1" x14ac:dyDescent="0.25">
      <c r="A1028" s="241"/>
      <c r="B1028" s="243"/>
      <c r="C1028" s="241"/>
      <c r="D1028" s="241"/>
      <c r="E1028" s="241"/>
    </row>
    <row r="1029" spans="1:5" customFormat="1" ht="24.95" customHeight="1" x14ac:dyDescent="0.25">
      <c r="A1029" s="241"/>
      <c r="B1029" s="243"/>
      <c r="C1029" s="241"/>
      <c r="D1029" s="241"/>
      <c r="E1029" s="241"/>
    </row>
    <row r="1030" spans="1:5" customFormat="1" ht="24.95" customHeight="1" x14ac:dyDescent="0.25">
      <c r="A1030" s="241"/>
      <c r="B1030" s="243"/>
      <c r="C1030" s="241"/>
      <c r="D1030" s="241"/>
      <c r="E1030" s="241"/>
    </row>
    <row r="1031" spans="1:5" customFormat="1" ht="24.95" customHeight="1" x14ac:dyDescent="0.25">
      <c r="A1031" s="241"/>
      <c r="B1031" s="243"/>
      <c r="C1031" s="241"/>
      <c r="D1031" s="241"/>
      <c r="E1031" s="241"/>
    </row>
    <row r="1032" spans="1:5" customFormat="1" ht="24.95" customHeight="1" x14ac:dyDescent="0.25">
      <c r="A1032" s="241"/>
      <c r="B1032" s="243"/>
      <c r="C1032" s="241"/>
      <c r="D1032" s="241"/>
      <c r="E1032" s="241"/>
    </row>
    <row r="1033" spans="1:5" customFormat="1" ht="24.95" customHeight="1" x14ac:dyDescent="0.25">
      <c r="A1033" s="241"/>
      <c r="B1033" s="243"/>
      <c r="C1033" s="241"/>
      <c r="D1033" s="241"/>
      <c r="E1033" s="241"/>
    </row>
    <row r="1034" spans="1:5" customFormat="1" ht="24.95" customHeight="1" x14ac:dyDescent="0.25">
      <c r="A1034" s="241"/>
      <c r="B1034" s="243"/>
      <c r="C1034" s="241"/>
      <c r="D1034" s="241"/>
      <c r="E1034" s="241"/>
    </row>
    <row r="1035" spans="1:5" customFormat="1" ht="24.95" customHeight="1" x14ac:dyDescent="0.25">
      <c r="A1035" s="241"/>
      <c r="B1035" s="243"/>
      <c r="C1035" s="241"/>
      <c r="D1035" s="241"/>
      <c r="E1035" s="241"/>
    </row>
    <row r="1036" spans="1:5" customFormat="1" ht="24.95" customHeight="1" x14ac:dyDescent="0.25">
      <c r="A1036" s="241"/>
      <c r="B1036" s="243"/>
      <c r="C1036" s="241"/>
      <c r="D1036" s="241"/>
      <c r="E1036" s="241"/>
    </row>
    <row r="1037" spans="1:5" customFormat="1" ht="24.95" customHeight="1" x14ac:dyDescent="0.25">
      <c r="A1037" s="241"/>
      <c r="B1037" s="243"/>
      <c r="C1037" s="241"/>
      <c r="D1037" s="241"/>
      <c r="E1037" s="241"/>
    </row>
    <row r="1038" spans="1:5" customFormat="1" ht="24.95" customHeight="1" x14ac:dyDescent="0.25">
      <c r="A1038" s="241"/>
      <c r="B1038" s="243"/>
      <c r="C1038" s="241"/>
      <c r="D1038" s="241"/>
      <c r="E1038" s="241"/>
    </row>
    <row r="1039" spans="1:5" customFormat="1" ht="24.95" customHeight="1" x14ac:dyDescent="0.25">
      <c r="A1039" s="241"/>
      <c r="B1039" s="243"/>
      <c r="C1039" s="241"/>
      <c r="D1039" s="241"/>
      <c r="E1039" s="241"/>
    </row>
    <row r="1040" spans="1:5" customFormat="1" ht="24.95" customHeight="1" x14ac:dyDescent="0.25">
      <c r="A1040" s="241"/>
      <c r="B1040" s="243"/>
      <c r="C1040" s="241"/>
      <c r="D1040" s="241"/>
      <c r="E1040" s="241"/>
    </row>
    <row r="1041" spans="1:5" customFormat="1" ht="24.95" customHeight="1" x14ac:dyDescent="0.25">
      <c r="A1041" s="241"/>
      <c r="B1041" s="243"/>
      <c r="C1041" s="241"/>
      <c r="D1041" s="241"/>
      <c r="E1041" s="241"/>
    </row>
    <row r="1042" spans="1:5" customFormat="1" ht="24.95" customHeight="1" x14ac:dyDescent="0.25">
      <c r="A1042" s="241"/>
      <c r="B1042" s="243"/>
      <c r="C1042" s="241"/>
      <c r="D1042" s="241"/>
      <c r="E1042" s="241"/>
    </row>
    <row r="1043" spans="1:5" customFormat="1" ht="24.95" customHeight="1" x14ac:dyDescent="0.25">
      <c r="A1043" s="241"/>
      <c r="B1043" s="243"/>
      <c r="C1043" s="241"/>
      <c r="D1043" s="241"/>
      <c r="E1043" s="241"/>
    </row>
    <row r="1044" spans="1:5" customFormat="1" ht="24.95" customHeight="1" x14ac:dyDescent="0.25">
      <c r="A1044" s="241"/>
      <c r="B1044" s="243"/>
      <c r="C1044" s="241"/>
      <c r="D1044" s="241"/>
      <c r="E1044" s="241"/>
    </row>
    <row r="1045" spans="1:5" customFormat="1" ht="24.95" customHeight="1" x14ac:dyDescent="0.25">
      <c r="A1045" s="241"/>
      <c r="B1045" s="243"/>
      <c r="C1045" s="241"/>
      <c r="D1045" s="241"/>
      <c r="E1045" s="241"/>
    </row>
    <row r="1046" spans="1:5" customFormat="1" ht="24.95" customHeight="1" x14ac:dyDescent="0.25">
      <c r="A1046" s="241"/>
      <c r="B1046" s="243"/>
      <c r="C1046" s="241"/>
      <c r="D1046" s="241"/>
      <c r="E1046" s="241"/>
    </row>
    <row r="1047" spans="1:5" customFormat="1" ht="24.95" customHeight="1" x14ac:dyDescent="0.25">
      <c r="A1047" s="241"/>
      <c r="B1047" s="243"/>
      <c r="C1047" s="241"/>
      <c r="D1047" s="241"/>
      <c r="E1047" s="241"/>
    </row>
    <row r="1048" spans="1:5" customFormat="1" ht="24.95" customHeight="1" x14ac:dyDescent="0.25">
      <c r="A1048" s="241"/>
      <c r="B1048" s="243"/>
      <c r="C1048" s="241"/>
      <c r="D1048" s="241"/>
      <c r="E1048" s="241"/>
    </row>
    <row r="1049" spans="1:5" customFormat="1" ht="24.95" customHeight="1" x14ac:dyDescent="0.25">
      <c r="A1049" s="241"/>
      <c r="B1049" s="243"/>
      <c r="C1049" s="241"/>
      <c r="D1049" s="241"/>
      <c r="E1049" s="241"/>
    </row>
    <row r="1050" spans="1:5" customFormat="1" ht="24.95" customHeight="1" x14ac:dyDescent="0.25">
      <c r="A1050" s="241"/>
      <c r="B1050" s="243"/>
      <c r="C1050" s="241"/>
      <c r="D1050" s="241"/>
      <c r="E1050" s="241"/>
    </row>
    <row r="1051" spans="1:5" customFormat="1" ht="24.95" customHeight="1" x14ac:dyDescent="0.25">
      <c r="A1051" s="241"/>
      <c r="B1051" s="243"/>
      <c r="C1051" s="241"/>
      <c r="D1051" s="241"/>
      <c r="E1051" s="241"/>
    </row>
    <row r="1052" spans="1:5" customFormat="1" ht="24.95" customHeight="1" x14ac:dyDescent="0.25">
      <c r="A1052" s="241"/>
      <c r="B1052" s="243"/>
      <c r="C1052" s="241"/>
      <c r="D1052" s="241"/>
      <c r="E1052" s="241"/>
    </row>
    <row r="1053" spans="1:5" customFormat="1" ht="24.95" customHeight="1" x14ac:dyDescent="0.25">
      <c r="A1053" s="241"/>
      <c r="B1053" s="243"/>
      <c r="C1053" s="241"/>
      <c r="D1053" s="241"/>
      <c r="E1053" s="241"/>
    </row>
    <row r="1054" spans="1:5" customFormat="1" ht="24.95" customHeight="1" x14ac:dyDescent="0.25">
      <c r="A1054" s="241"/>
      <c r="B1054" s="243"/>
      <c r="C1054" s="241"/>
      <c r="D1054" s="241"/>
      <c r="E1054" s="241"/>
    </row>
    <row r="1055" spans="1:5" customFormat="1" ht="24.95" customHeight="1" x14ac:dyDescent="0.25">
      <c r="A1055" s="241"/>
      <c r="B1055" s="243"/>
      <c r="C1055" s="241"/>
      <c r="D1055" s="241"/>
      <c r="E1055" s="241"/>
    </row>
    <row r="1056" spans="1:5" customFormat="1" ht="24.95" customHeight="1" x14ac:dyDescent="0.25">
      <c r="A1056" s="241"/>
      <c r="B1056" s="243"/>
      <c r="C1056" s="241"/>
      <c r="D1056" s="241"/>
      <c r="E1056" s="241"/>
    </row>
    <row r="1057" spans="1:5" customFormat="1" ht="24.95" customHeight="1" x14ac:dyDescent="0.25">
      <c r="A1057" s="241"/>
      <c r="B1057" s="243"/>
      <c r="C1057" s="241"/>
      <c r="D1057" s="241"/>
      <c r="E1057" s="241"/>
    </row>
    <row r="1058" spans="1:5" customFormat="1" ht="24.95" customHeight="1" x14ac:dyDescent="0.25">
      <c r="A1058" s="241"/>
      <c r="B1058" s="243"/>
      <c r="C1058" s="241"/>
      <c r="D1058" s="241"/>
      <c r="E1058" s="241"/>
    </row>
    <row r="1059" spans="1:5" customFormat="1" ht="24.95" customHeight="1" x14ac:dyDescent="0.25">
      <c r="A1059" s="241"/>
      <c r="B1059" s="243"/>
      <c r="C1059" s="241"/>
      <c r="D1059" s="241"/>
      <c r="E1059" s="241"/>
    </row>
    <row r="1060" spans="1:5" customFormat="1" ht="24.95" customHeight="1" x14ac:dyDescent="0.25">
      <c r="A1060" s="241"/>
      <c r="B1060" s="243"/>
      <c r="C1060" s="241"/>
      <c r="D1060" s="241"/>
      <c r="E1060" s="241"/>
    </row>
    <row r="1061" spans="1:5" customFormat="1" ht="24.95" customHeight="1" x14ac:dyDescent="0.25">
      <c r="A1061" s="241"/>
      <c r="B1061" s="243"/>
      <c r="C1061" s="241"/>
      <c r="D1061" s="241"/>
      <c r="E1061" s="241"/>
    </row>
    <row r="1062" spans="1:5" customFormat="1" ht="24.95" customHeight="1" x14ac:dyDescent="0.25">
      <c r="A1062" s="241"/>
      <c r="B1062" s="243"/>
      <c r="C1062" s="241"/>
      <c r="D1062" s="241"/>
      <c r="E1062" s="241"/>
    </row>
    <row r="1063" spans="1:5" customFormat="1" ht="24.95" customHeight="1" x14ac:dyDescent="0.25">
      <c r="A1063" s="241"/>
      <c r="B1063" s="243"/>
      <c r="C1063" s="241"/>
      <c r="D1063" s="241"/>
      <c r="E1063" s="241"/>
    </row>
    <row r="1064" spans="1:5" customFormat="1" ht="24.95" customHeight="1" x14ac:dyDescent="0.25">
      <c r="A1064" s="241"/>
      <c r="B1064" s="243"/>
      <c r="C1064" s="241"/>
      <c r="D1064" s="241"/>
      <c r="E1064" s="241"/>
    </row>
    <row r="1065" spans="1:5" customFormat="1" ht="24.95" customHeight="1" x14ac:dyDescent="0.25">
      <c r="A1065" s="241"/>
      <c r="B1065" s="243"/>
      <c r="C1065" s="241"/>
      <c r="D1065" s="241"/>
      <c r="E1065" s="241"/>
    </row>
    <row r="1066" spans="1:5" customFormat="1" ht="24.95" customHeight="1" x14ac:dyDescent="0.25">
      <c r="A1066" s="241"/>
      <c r="B1066" s="243"/>
      <c r="C1066" s="241"/>
      <c r="D1066" s="241"/>
      <c r="E1066" s="241"/>
    </row>
    <row r="1067" spans="1:5" customFormat="1" ht="24.95" customHeight="1" x14ac:dyDescent="0.25">
      <c r="A1067" s="241"/>
      <c r="B1067" s="243"/>
      <c r="C1067" s="241"/>
      <c r="D1067" s="241"/>
      <c r="E1067" s="241"/>
    </row>
    <row r="1068" spans="1:5" customFormat="1" ht="24.95" customHeight="1" x14ac:dyDescent="0.25">
      <c r="A1068" s="241"/>
      <c r="B1068" s="243"/>
      <c r="C1068" s="241"/>
      <c r="D1068" s="241"/>
      <c r="E1068" s="241"/>
    </row>
    <row r="1069" spans="1:5" customFormat="1" ht="24.95" customHeight="1" x14ac:dyDescent="0.25">
      <c r="A1069" s="241"/>
      <c r="B1069" s="243"/>
      <c r="C1069" s="241"/>
      <c r="D1069" s="241"/>
      <c r="E1069" s="241"/>
    </row>
    <row r="1070" spans="1:5" customFormat="1" ht="24.95" customHeight="1" x14ac:dyDescent="0.25">
      <c r="A1070" s="241"/>
      <c r="B1070" s="243"/>
      <c r="C1070" s="241"/>
      <c r="D1070" s="241"/>
      <c r="E1070" s="241"/>
    </row>
    <row r="1071" spans="1:5" customFormat="1" ht="24.95" customHeight="1" x14ac:dyDescent="0.25">
      <c r="A1071" s="241"/>
      <c r="B1071" s="243"/>
      <c r="C1071" s="241"/>
      <c r="D1071" s="241"/>
      <c r="E1071" s="241"/>
    </row>
    <row r="1072" spans="1:5" customFormat="1" ht="24.95" customHeight="1" x14ac:dyDescent="0.25">
      <c r="A1072" s="241"/>
      <c r="B1072" s="243"/>
      <c r="C1072" s="241"/>
      <c r="D1072" s="241"/>
      <c r="E1072" s="241"/>
    </row>
    <row r="1073" spans="1:5" customFormat="1" ht="24.95" customHeight="1" x14ac:dyDescent="0.25">
      <c r="A1073" s="241"/>
      <c r="B1073" s="243"/>
      <c r="C1073" s="241"/>
      <c r="D1073" s="241"/>
      <c r="E1073" s="241"/>
    </row>
    <row r="1074" spans="1:5" customFormat="1" ht="24.95" customHeight="1" x14ac:dyDescent="0.25">
      <c r="A1074" s="241"/>
      <c r="B1074" s="243"/>
      <c r="C1074" s="241"/>
      <c r="D1074" s="241"/>
      <c r="E1074" s="241"/>
    </row>
    <row r="1075" spans="1:5" customFormat="1" ht="24.95" customHeight="1" x14ac:dyDescent="0.25">
      <c r="A1075" s="241"/>
      <c r="B1075" s="243"/>
      <c r="C1075" s="241"/>
      <c r="D1075" s="241"/>
      <c r="E1075" s="241"/>
    </row>
    <row r="1076" spans="1:5" customFormat="1" ht="24.95" customHeight="1" x14ac:dyDescent="0.25">
      <c r="A1076" s="241"/>
      <c r="B1076" s="243"/>
      <c r="C1076" s="241"/>
      <c r="D1076" s="241"/>
      <c r="E1076" s="241"/>
    </row>
    <row r="1077" spans="1:5" customFormat="1" ht="24.95" customHeight="1" x14ac:dyDescent="0.25">
      <c r="A1077" s="241"/>
      <c r="B1077" s="243"/>
      <c r="C1077" s="241"/>
      <c r="D1077" s="241"/>
      <c r="E1077" s="241"/>
    </row>
    <row r="1078" spans="1:5" customFormat="1" ht="24.95" customHeight="1" x14ac:dyDescent="0.25">
      <c r="A1078" s="241"/>
      <c r="B1078" s="243"/>
      <c r="C1078" s="241"/>
      <c r="D1078" s="241"/>
      <c r="E1078" s="241"/>
    </row>
    <row r="1079" spans="1:5" customFormat="1" ht="24.95" customHeight="1" x14ac:dyDescent="0.25">
      <c r="A1079" s="241"/>
      <c r="B1079" s="243"/>
      <c r="C1079" s="241"/>
      <c r="D1079" s="241"/>
      <c r="E1079" s="241"/>
    </row>
    <row r="1080" spans="1:5" customFormat="1" ht="24.95" customHeight="1" x14ac:dyDescent="0.25">
      <c r="A1080" s="241"/>
      <c r="B1080" s="243"/>
      <c r="C1080" s="241"/>
      <c r="D1080" s="241"/>
      <c r="E1080" s="241"/>
    </row>
    <row r="1081" spans="1:5" customFormat="1" ht="24.95" customHeight="1" x14ac:dyDescent="0.25">
      <c r="A1081" s="241"/>
      <c r="B1081" s="243"/>
      <c r="C1081" s="241"/>
      <c r="D1081" s="241"/>
      <c r="E1081" s="241"/>
    </row>
    <row r="1082" spans="1:5" customFormat="1" ht="24.95" customHeight="1" x14ac:dyDescent="0.25">
      <c r="A1082" s="241"/>
      <c r="B1082" s="243"/>
      <c r="C1082" s="241"/>
      <c r="D1082" s="241"/>
      <c r="E1082" s="241"/>
    </row>
    <row r="1083" spans="1:5" customFormat="1" ht="24.95" customHeight="1" x14ac:dyDescent="0.25">
      <c r="A1083" s="241"/>
      <c r="B1083" s="243"/>
      <c r="C1083" s="241"/>
      <c r="D1083" s="241"/>
      <c r="E1083" s="241"/>
    </row>
    <row r="1084" spans="1:5" customFormat="1" ht="24.95" customHeight="1" x14ac:dyDescent="0.25">
      <c r="A1084" s="241"/>
      <c r="B1084" s="243"/>
      <c r="C1084" s="241"/>
      <c r="D1084" s="241"/>
      <c r="E1084" s="241"/>
    </row>
    <row r="1085" spans="1:5" customFormat="1" ht="24.95" customHeight="1" x14ac:dyDescent="0.25">
      <c r="A1085" s="241"/>
      <c r="B1085" s="243"/>
      <c r="C1085" s="241"/>
      <c r="D1085" s="241"/>
      <c r="E1085" s="241"/>
    </row>
    <row r="1086" spans="1:5" customFormat="1" ht="24.95" customHeight="1" x14ac:dyDescent="0.25">
      <c r="A1086" s="241"/>
      <c r="B1086" s="243"/>
      <c r="C1086" s="241"/>
      <c r="D1086" s="241"/>
      <c r="E1086" s="241"/>
    </row>
    <row r="1087" spans="1:5" customFormat="1" ht="24.95" customHeight="1" x14ac:dyDescent="0.25">
      <c r="A1087" s="241"/>
      <c r="B1087" s="243"/>
      <c r="C1087" s="241"/>
      <c r="D1087" s="241"/>
      <c r="E1087" s="241"/>
    </row>
    <row r="1088" spans="1:5" customFormat="1" ht="24.95" customHeight="1" x14ac:dyDescent="0.25">
      <c r="A1088" s="241"/>
      <c r="B1088" s="243"/>
      <c r="C1088" s="241"/>
      <c r="D1088" s="241"/>
      <c r="E1088" s="241"/>
    </row>
    <row r="1089" spans="1:5" customFormat="1" ht="24.95" customHeight="1" x14ac:dyDescent="0.25">
      <c r="A1089" s="241"/>
      <c r="B1089" s="243"/>
      <c r="C1089" s="241"/>
      <c r="D1089" s="241"/>
      <c r="E1089" s="241"/>
    </row>
    <row r="1090" spans="1:5" customFormat="1" ht="24.95" customHeight="1" x14ac:dyDescent="0.25">
      <c r="A1090" s="241"/>
      <c r="B1090" s="243"/>
      <c r="C1090" s="241"/>
      <c r="D1090" s="241"/>
      <c r="E1090" s="241"/>
    </row>
    <row r="1091" spans="1:5" customFormat="1" ht="24.95" customHeight="1" x14ac:dyDescent="0.25">
      <c r="A1091" s="241"/>
      <c r="B1091" s="243"/>
      <c r="C1091" s="241"/>
      <c r="D1091" s="241"/>
      <c r="E1091" s="241"/>
    </row>
    <row r="1092" spans="1:5" customFormat="1" ht="24.95" customHeight="1" x14ac:dyDescent="0.25">
      <c r="A1092" s="241"/>
      <c r="B1092" s="243"/>
      <c r="C1092" s="241"/>
      <c r="D1092" s="241"/>
      <c r="E1092" s="241"/>
    </row>
    <row r="1093" spans="1:5" customFormat="1" ht="24.95" customHeight="1" x14ac:dyDescent="0.25">
      <c r="A1093" s="241"/>
      <c r="B1093" s="243"/>
      <c r="C1093" s="241"/>
      <c r="D1093" s="241"/>
      <c r="E1093" s="241"/>
    </row>
    <row r="1094" spans="1:5" customFormat="1" ht="24.95" customHeight="1" x14ac:dyDescent="0.25">
      <c r="A1094" s="241"/>
      <c r="B1094" s="243"/>
      <c r="C1094" s="241"/>
      <c r="D1094" s="241"/>
      <c r="E1094" s="241"/>
    </row>
    <row r="1095" spans="1:5" customFormat="1" ht="24.95" customHeight="1" x14ac:dyDescent="0.25">
      <c r="A1095" s="241"/>
      <c r="B1095" s="243"/>
      <c r="C1095" s="241"/>
      <c r="D1095" s="241"/>
      <c r="E1095" s="241"/>
    </row>
    <row r="1096" spans="1:5" customFormat="1" ht="24.95" customHeight="1" x14ac:dyDescent="0.25">
      <c r="A1096" s="241"/>
      <c r="B1096" s="243"/>
      <c r="C1096" s="241"/>
      <c r="D1096" s="241"/>
      <c r="E1096" s="241"/>
    </row>
    <row r="1097" spans="1:5" customFormat="1" ht="24.95" customHeight="1" x14ac:dyDescent="0.25">
      <c r="A1097" s="241"/>
      <c r="B1097" s="243"/>
      <c r="C1097" s="241"/>
      <c r="D1097" s="241"/>
      <c r="E1097" s="241"/>
    </row>
    <row r="1098" spans="1:5" customFormat="1" ht="24.95" customHeight="1" x14ac:dyDescent="0.25">
      <c r="A1098" s="241"/>
      <c r="B1098" s="243"/>
      <c r="C1098" s="241"/>
      <c r="D1098" s="241"/>
      <c r="E1098" s="241"/>
    </row>
    <row r="1099" spans="1:5" customFormat="1" ht="24.95" customHeight="1" x14ac:dyDescent="0.25">
      <c r="A1099" s="241"/>
      <c r="B1099" s="243"/>
      <c r="C1099" s="241"/>
      <c r="D1099" s="241"/>
      <c r="E1099" s="241"/>
    </row>
    <row r="1100" spans="1:5" customFormat="1" ht="24.95" customHeight="1" x14ac:dyDescent="0.25">
      <c r="A1100" s="241"/>
      <c r="B1100" s="243"/>
      <c r="C1100" s="241"/>
      <c r="D1100" s="241"/>
      <c r="E1100" s="241"/>
    </row>
    <row r="1101" spans="1:5" customFormat="1" ht="24.95" customHeight="1" x14ac:dyDescent="0.25">
      <c r="A1101" s="241"/>
      <c r="B1101" s="243"/>
      <c r="C1101" s="241"/>
      <c r="D1101" s="241"/>
      <c r="E1101" s="241"/>
    </row>
    <row r="1102" spans="1:5" customFormat="1" ht="24.95" customHeight="1" x14ac:dyDescent="0.25">
      <c r="A1102" s="241"/>
      <c r="B1102" s="243"/>
      <c r="C1102" s="241"/>
      <c r="D1102" s="241"/>
      <c r="E1102" s="241"/>
    </row>
    <row r="1103" spans="1:5" customFormat="1" ht="24.95" customHeight="1" x14ac:dyDescent="0.25">
      <c r="A1103" s="241"/>
      <c r="B1103" s="243"/>
      <c r="C1103" s="241"/>
      <c r="D1103" s="241"/>
      <c r="E1103" s="241"/>
    </row>
    <row r="1104" spans="1:5" customFormat="1" ht="24.95" customHeight="1" x14ac:dyDescent="0.25">
      <c r="A1104" s="241"/>
      <c r="B1104" s="243"/>
      <c r="C1104" s="241"/>
      <c r="D1104" s="241"/>
      <c r="E1104" s="241"/>
    </row>
    <row r="1105" spans="1:5" customFormat="1" ht="24.95" customHeight="1" x14ac:dyDescent="0.25">
      <c r="A1105" s="241"/>
      <c r="B1105" s="243"/>
      <c r="C1105" s="241"/>
      <c r="D1105" s="241"/>
      <c r="E1105" s="241"/>
    </row>
    <row r="1106" spans="1:5" customFormat="1" ht="24.95" customHeight="1" x14ac:dyDescent="0.25">
      <c r="A1106" s="241"/>
      <c r="B1106" s="243"/>
      <c r="C1106" s="241"/>
      <c r="D1106" s="241"/>
      <c r="E1106" s="241"/>
    </row>
    <row r="1107" spans="1:5" customFormat="1" ht="24.95" customHeight="1" x14ac:dyDescent="0.25">
      <c r="A1107" s="241"/>
      <c r="B1107" s="243"/>
      <c r="C1107" s="241"/>
      <c r="D1107" s="241"/>
      <c r="E1107" s="241"/>
    </row>
    <row r="1108" spans="1:5" customFormat="1" ht="24.95" customHeight="1" x14ac:dyDescent="0.25">
      <c r="A1108" s="241"/>
      <c r="B1108" s="243"/>
      <c r="C1108" s="241"/>
      <c r="D1108" s="241"/>
      <c r="E1108" s="241"/>
    </row>
    <row r="1109" spans="1:5" customFormat="1" ht="24.95" customHeight="1" x14ac:dyDescent="0.25">
      <c r="A1109" s="241"/>
      <c r="B1109" s="243"/>
      <c r="C1109" s="241"/>
      <c r="D1109" s="241"/>
      <c r="E1109" s="241"/>
    </row>
    <row r="1110" spans="1:5" customFormat="1" ht="24.95" customHeight="1" x14ac:dyDescent="0.25">
      <c r="A1110" s="241"/>
      <c r="B1110" s="243"/>
      <c r="C1110" s="241"/>
      <c r="D1110" s="241"/>
      <c r="E1110" s="241"/>
    </row>
    <row r="1111" spans="1:5" customFormat="1" ht="24.95" customHeight="1" x14ac:dyDescent="0.25">
      <c r="A1111" s="241"/>
      <c r="B1111" s="243"/>
      <c r="C1111" s="241"/>
      <c r="D1111" s="241"/>
      <c r="E1111" s="241"/>
    </row>
    <row r="1112" spans="1:5" customFormat="1" ht="24.95" customHeight="1" x14ac:dyDescent="0.25">
      <c r="A1112" s="241"/>
      <c r="B1112" s="243"/>
      <c r="C1112" s="241"/>
      <c r="D1112" s="241"/>
      <c r="E1112" s="241"/>
    </row>
    <row r="1113" spans="1:5" customFormat="1" ht="24.95" customHeight="1" x14ac:dyDescent="0.25">
      <c r="A1113" s="241"/>
      <c r="B1113" s="243"/>
      <c r="C1113" s="241"/>
      <c r="D1113" s="241"/>
      <c r="E1113" s="241"/>
    </row>
    <row r="1114" spans="1:5" customFormat="1" ht="24.95" customHeight="1" x14ac:dyDescent="0.25">
      <c r="A1114" s="241"/>
      <c r="B1114" s="243"/>
      <c r="C1114" s="241"/>
      <c r="D1114" s="241"/>
      <c r="E1114" s="241"/>
    </row>
    <row r="1115" spans="1:5" customFormat="1" ht="24.95" customHeight="1" x14ac:dyDescent="0.25">
      <c r="A1115" s="241"/>
      <c r="B1115" s="243"/>
      <c r="C1115" s="241"/>
      <c r="D1115" s="241"/>
      <c r="E1115" s="241"/>
    </row>
    <row r="1116" spans="1:5" customFormat="1" ht="24.95" customHeight="1" x14ac:dyDescent="0.25">
      <c r="A1116" s="241"/>
      <c r="B1116" s="243"/>
      <c r="C1116" s="241"/>
      <c r="D1116" s="241"/>
      <c r="E1116" s="241"/>
    </row>
    <row r="1117" spans="1:5" customFormat="1" ht="24.95" customHeight="1" x14ac:dyDescent="0.25">
      <c r="A1117" s="241"/>
      <c r="B1117" s="243"/>
      <c r="C1117" s="241"/>
      <c r="D1117" s="241"/>
      <c r="E1117" s="241"/>
    </row>
    <row r="1118" spans="1:5" customFormat="1" ht="24.95" customHeight="1" x14ac:dyDescent="0.25">
      <c r="A1118" s="241"/>
      <c r="B1118" s="243"/>
      <c r="C1118" s="241"/>
      <c r="D1118" s="241"/>
      <c r="E1118" s="241"/>
    </row>
    <row r="1119" spans="1:5" customFormat="1" ht="24.95" customHeight="1" x14ac:dyDescent="0.25">
      <c r="A1119" s="241"/>
      <c r="B1119" s="243"/>
      <c r="C1119" s="241"/>
      <c r="D1119" s="241"/>
      <c r="E1119" s="241"/>
    </row>
    <row r="1120" spans="1:5" customFormat="1" ht="24.95" customHeight="1" x14ac:dyDescent="0.25">
      <c r="A1120" s="241"/>
      <c r="B1120" s="243"/>
      <c r="C1120" s="241"/>
      <c r="D1120" s="241"/>
      <c r="E1120" s="241"/>
    </row>
    <row r="1121" spans="1:5" customFormat="1" ht="24.95" customHeight="1" x14ac:dyDescent="0.25">
      <c r="A1121" s="241"/>
      <c r="B1121" s="243"/>
      <c r="C1121" s="241"/>
      <c r="D1121" s="241"/>
      <c r="E1121" s="241"/>
    </row>
    <row r="1122" spans="1:5" customFormat="1" ht="24.95" customHeight="1" x14ac:dyDescent="0.25">
      <c r="A1122" s="241"/>
      <c r="B1122" s="243"/>
      <c r="C1122" s="241"/>
      <c r="D1122" s="241"/>
      <c r="E1122" s="241"/>
    </row>
    <row r="1123" spans="1:5" customFormat="1" ht="24.95" customHeight="1" x14ac:dyDescent="0.25">
      <c r="A1123" s="241"/>
      <c r="B1123" s="243"/>
      <c r="C1123" s="241"/>
      <c r="D1123" s="241"/>
      <c r="E1123" s="241"/>
    </row>
    <row r="1124" spans="1:5" customFormat="1" ht="24.95" customHeight="1" x14ac:dyDescent="0.25">
      <c r="A1124" s="241"/>
      <c r="B1124" s="243"/>
      <c r="C1124" s="241"/>
      <c r="D1124" s="241"/>
      <c r="E1124" s="241"/>
    </row>
    <row r="1125" spans="1:5" customFormat="1" ht="24.95" customHeight="1" x14ac:dyDescent="0.25">
      <c r="A1125" s="241"/>
      <c r="B1125" s="243"/>
      <c r="C1125" s="241"/>
      <c r="D1125" s="241"/>
      <c r="E1125" s="241"/>
    </row>
    <row r="1126" spans="1:5" customFormat="1" ht="24.95" customHeight="1" x14ac:dyDescent="0.25">
      <c r="A1126" s="241"/>
      <c r="B1126" s="243"/>
      <c r="C1126" s="241"/>
      <c r="D1126" s="241"/>
      <c r="E1126" s="241"/>
    </row>
    <row r="1127" spans="1:5" customFormat="1" ht="24.95" customHeight="1" x14ac:dyDescent="0.25">
      <c r="A1127" s="241"/>
      <c r="B1127" s="243"/>
      <c r="C1127" s="241"/>
      <c r="D1127" s="241"/>
      <c r="E1127" s="241"/>
    </row>
    <row r="1128" spans="1:5" customFormat="1" ht="24.95" customHeight="1" x14ac:dyDescent="0.25">
      <c r="A1128" s="241"/>
      <c r="B1128" s="243"/>
      <c r="C1128" s="241"/>
      <c r="D1128" s="241"/>
      <c r="E1128" s="241"/>
    </row>
    <row r="1129" spans="1:5" customFormat="1" ht="24.95" customHeight="1" x14ac:dyDescent="0.25">
      <c r="A1129" s="241"/>
      <c r="B1129" s="243"/>
      <c r="C1129" s="241"/>
      <c r="D1129" s="241"/>
      <c r="E1129" s="241"/>
    </row>
    <row r="1130" spans="1:5" customFormat="1" ht="24.95" customHeight="1" x14ac:dyDescent="0.25">
      <c r="A1130" s="241"/>
      <c r="B1130" s="243"/>
      <c r="C1130" s="241"/>
      <c r="D1130" s="241"/>
      <c r="E1130" s="241"/>
    </row>
    <row r="1131" spans="1:5" customFormat="1" ht="24.95" customHeight="1" x14ac:dyDescent="0.25">
      <c r="A1131" s="241"/>
      <c r="B1131" s="243"/>
      <c r="C1131" s="241"/>
      <c r="D1131" s="241"/>
      <c r="E1131" s="241"/>
    </row>
    <row r="1132" spans="1:5" customFormat="1" ht="24.95" customHeight="1" x14ac:dyDescent="0.25">
      <c r="A1132" s="241"/>
      <c r="B1132" s="243"/>
      <c r="C1132" s="241"/>
      <c r="D1132" s="241"/>
      <c r="E1132" s="241"/>
    </row>
    <row r="1133" spans="1:5" customFormat="1" ht="24.95" customHeight="1" x14ac:dyDescent="0.25">
      <c r="A1133" s="241"/>
      <c r="B1133" s="243"/>
      <c r="C1133" s="241"/>
      <c r="D1133" s="241"/>
      <c r="E1133" s="241"/>
    </row>
    <row r="1134" spans="1:5" customFormat="1" ht="24.95" customHeight="1" x14ac:dyDescent="0.25">
      <c r="A1134" s="241"/>
      <c r="B1134" s="243"/>
      <c r="C1134" s="241"/>
      <c r="D1134" s="241"/>
      <c r="E1134" s="241"/>
    </row>
    <row r="1135" spans="1:5" customFormat="1" ht="24.95" customHeight="1" x14ac:dyDescent="0.25">
      <c r="A1135" s="241"/>
      <c r="B1135" s="243"/>
      <c r="C1135" s="241"/>
      <c r="D1135" s="241"/>
      <c r="E1135" s="241"/>
    </row>
    <row r="1136" spans="1:5" customFormat="1" ht="24.95" customHeight="1" x14ac:dyDescent="0.25">
      <c r="A1136" s="241"/>
      <c r="B1136" s="243"/>
      <c r="C1136" s="241"/>
      <c r="D1136" s="241"/>
      <c r="E1136" s="241"/>
    </row>
    <row r="1137" spans="1:5" customFormat="1" ht="24.95" customHeight="1" x14ac:dyDescent="0.25">
      <c r="A1137" s="241"/>
      <c r="B1137" s="243"/>
      <c r="C1137" s="241"/>
      <c r="D1137" s="241"/>
      <c r="E1137" s="241"/>
    </row>
    <row r="1138" spans="1:5" customFormat="1" ht="24.95" customHeight="1" x14ac:dyDescent="0.25">
      <c r="A1138" s="241"/>
      <c r="B1138" s="243"/>
      <c r="C1138" s="241"/>
      <c r="D1138" s="241"/>
      <c r="E1138" s="241"/>
    </row>
    <row r="1139" spans="1:5" customFormat="1" ht="24.95" customHeight="1" x14ac:dyDescent="0.25">
      <c r="A1139" s="241"/>
      <c r="B1139" s="243"/>
      <c r="C1139" s="241"/>
      <c r="D1139" s="241"/>
      <c r="E1139" s="241"/>
    </row>
    <row r="1140" spans="1:5" customFormat="1" ht="24.95" customHeight="1" x14ac:dyDescent="0.25">
      <c r="A1140" s="241"/>
      <c r="B1140" s="243"/>
      <c r="C1140" s="241"/>
      <c r="D1140" s="241"/>
      <c r="E1140" s="241"/>
    </row>
    <row r="1141" spans="1:5" customFormat="1" ht="24.95" customHeight="1" x14ac:dyDescent="0.25">
      <c r="A1141" s="241"/>
      <c r="B1141" s="243"/>
      <c r="C1141" s="241"/>
      <c r="D1141" s="241"/>
      <c r="E1141" s="241"/>
    </row>
    <row r="1142" spans="1:5" customFormat="1" ht="24.95" customHeight="1" x14ac:dyDescent="0.25">
      <c r="A1142" s="241"/>
      <c r="B1142" s="243"/>
      <c r="C1142" s="241"/>
      <c r="D1142" s="241"/>
      <c r="E1142" s="241"/>
    </row>
    <row r="1143" spans="1:5" customFormat="1" ht="24.95" customHeight="1" x14ac:dyDescent="0.25">
      <c r="A1143" s="241"/>
      <c r="B1143" s="243"/>
      <c r="C1143" s="241"/>
      <c r="D1143" s="241"/>
      <c r="E1143" s="241"/>
    </row>
    <row r="1144" spans="1:5" customFormat="1" ht="24.95" customHeight="1" x14ac:dyDescent="0.25">
      <c r="A1144" s="241"/>
      <c r="B1144" s="243"/>
      <c r="C1144" s="241"/>
      <c r="D1144" s="241"/>
      <c r="E1144" s="241"/>
    </row>
    <row r="1145" spans="1:5" customFormat="1" ht="24.95" customHeight="1" x14ac:dyDescent="0.25">
      <c r="A1145" s="241"/>
      <c r="B1145" s="243"/>
      <c r="C1145" s="241"/>
      <c r="D1145" s="241"/>
      <c r="E1145" s="241"/>
    </row>
    <row r="1146" spans="1:5" customFormat="1" ht="24.95" customHeight="1" x14ac:dyDescent="0.25">
      <c r="A1146" s="241"/>
      <c r="B1146" s="243"/>
      <c r="C1146" s="241"/>
      <c r="D1146" s="241"/>
      <c r="E1146" s="241"/>
    </row>
    <row r="1147" spans="1:5" customFormat="1" ht="24.95" customHeight="1" x14ac:dyDescent="0.25">
      <c r="A1147" s="241"/>
      <c r="B1147" s="243"/>
      <c r="C1147" s="241"/>
      <c r="D1147" s="241"/>
      <c r="E1147" s="241"/>
    </row>
    <row r="1148" spans="1:5" customFormat="1" ht="24.95" customHeight="1" x14ac:dyDescent="0.25">
      <c r="A1148" s="241"/>
      <c r="B1148" s="243"/>
      <c r="C1148" s="241"/>
      <c r="D1148" s="241"/>
      <c r="E1148" s="241"/>
    </row>
    <row r="1149" spans="1:5" customFormat="1" ht="24.95" customHeight="1" x14ac:dyDescent="0.25">
      <c r="A1149" s="241"/>
      <c r="B1149" s="243"/>
      <c r="C1149" s="241"/>
      <c r="D1149" s="241"/>
      <c r="E1149" s="241"/>
    </row>
    <row r="1150" spans="1:5" customFormat="1" ht="24.95" customHeight="1" x14ac:dyDescent="0.25">
      <c r="A1150" s="241"/>
      <c r="B1150" s="243"/>
      <c r="C1150" s="241"/>
      <c r="D1150" s="241"/>
      <c r="E1150" s="241"/>
    </row>
    <row r="1151" spans="1:5" customFormat="1" ht="24.95" customHeight="1" x14ac:dyDescent="0.25">
      <c r="A1151" s="241"/>
      <c r="B1151" s="243"/>
      <c r="C1151" s="241"/>
      <c r="D1151" s="241"/>
      <c r="E1151" s="241"/>
    </row>
    <row r="1152" spans="1:5" customFormat="1" ht="24.95" customHeight="1" x14ac:dyDescent="0.25">
      <c r="A1152" s="241"/>
      <c r="B1152" s="243"/>
      <c r="C1152" s="241"/>
      <c r="D1152" s="241"/>
      <c r="E1152" s="241"/>
    </row>
    <row r="1153" spans="1:5" customFormat="1" ht="24.95" customHeight="1" x14ac:dyDescent="0.25">
      <c r="A1153" s="241"/>
      <c r="B1153" s="243"/>
      <c r="C1153" s="241"/>
      <c r="D1153" s="241"/>
      <c r="E1153" s="241"/>
    </row>
    <row r="1154" spans="1:5" customFormat="1" ht="24.95" customHeight="1" x14ac:dyDescent="0.25">
      <c r="A1154" s="241"/>
      <c r="B1154" s="243"/>
      <c r="C1154" s="241"/>
      <c r="D1154" s="241"/>
      <c r="E1154" s="241"/>
    </row>
    <row r="1155" spans="1:5" customFormat="1" ht="24.95" customHeight="1" x14ac:dyDescent="0.25">
      <c r="A1155" s="241"/>
      <c r="B1155" s="243"/>
      <c r="C1155" s="241"/>
      <c r="D1155" s="241"/>
      <c r="E1155" s="241"/>
    </row>
    <row r="1156" spans="1:5" customFormat="1" ht="24.95" customHeight="1" x14ac:dyDescent="0.25">
      <c r="A1156" s="241"/>
      <c r="B1156" s="243"/>
      <c r="C1156" s="241"/>
      <c r="D1156" s="241"/>
      <c r="E1156" s="241"/>
    </row>
    <row r="1157" spans="1:5" customFormat="1" ht="24.95" customHeight="1" x14ac:dyDescent="0.25">
      <c r="A1157" s="241"/>
      <c r="B1157" s="243"/>
      <c r="C1157" s="241"/>
      <c r="D1157" s="241"/>
      <c r="E1157" s="241"/>
    </row>
    <row r="1158" spans="1:5" customFormat="1" ht="24.95" customHeight="1" x14ac:dyDescent="0.25">
      <c r="A1158" s="241"/>
      <c r="B1158" s="243"/>
      <c r="C1158" s="241"/>
      <c r="D1158" s="241"/>
      <c r="E1158" s="241"/>
    </row>
    <row r="1159" spans="1:5" customFormat="1" ht="24.95" customHeight="1" x14ac:dyDescent="0.25">
      <c r="A1159" s="241"/>
      <c r="B1159" s="243"/>
      <c r="C1159" s="241"/>
      <c r="D1159" s="241"/>
      <c r="E1159" s="241"/>
    </row>
    <row r="1160" spans="1:5" customFormat="1" ht="24.95" customHeight="1" x14ac:dyDescent="0.25">
      <c r="A1160" s="241"/>
      <c r="B1160" s="243"/>
      <c r="C1160" s="241"/>
      <c r="D1160" s="241"/>
      <c r="E1160" s="241"/>
    </row>
    <row r="1161" spans="1:5" customFormat="1" ht="24.95" customHeight="1" x14ac:dyDescent="0.25">
      <c r="A1161" s="241"/>
      <c r="B1161" s="243"/>
      <c r="C1161" s="241"/>
      <c r="D1161" s="241"/>
      <c r="E1161" s="241"/>
    </row>
    <row r="1162" spans="1:5" customFormat="1" ht="24.95" customHeight="1" x14ac:dyDescent="0.25">
      <c r="A1162" s="241"/>
      <c r="B1162" s="243"/>
      <c r="C1162" s="241"/>
      <c r="D1162" s="241"/>
      <c r="E1162" s="241"/>
    </row>
    <row r="1163" spans="1:5" customFormat="1" ht="24.95" customHeight="1" x14ac:dyDescent="0.25">
      <c r="A1163" s="241"/>
      <c r="B1163" s="243"/>
      <c r="C1163" s="241"/>
      <c r="D1163" s="241"/>
      <c r="E1163" s="241"/>
    </row>
    <row r="1164" spans="1:5" customFormat="1" ht="24.95" customHeight="1" x14ac:dyDescent="0.25">
      <c r="A1164" s="241"/>
      <c r="B1164" s="243"/>
      <c r="C1164" s="241"/>
      <c r="D1164" s="241"/>
      <c r="E1164" s="241"/>
    </row>
    <row r="1165" spans="1:5" customFormat="1" ht="24.95" customHeight="1" x14ac:dyDescent="0.25">
      <c r="A1165" s="241"/>
      <c r="B1165" s="243"/>
      <c r="C1165" s="241"/>
      <c r="D1165" s="241"/>
      <c r="E1165" s="241"/>
    </row>
    <row r="1166" spans="1:5" customFormat="1" ht="24.95" customHeight="1" x14ac:dyDescent="0.25">
      <c r="A1166" s="241"/>
      <c r="B1166" s="243"/>
      <c r="C1166" s="241"/>
      <c r="D1166" s="241"/>
      <c r="E1166" s="241"/>
    </row>
    <row r="1167" spans="1:5" customFormat="1" ht="24.95" customHeight="1" x14ac:dyDescent="0.25">
      <c r="A1167" s="241"/>
      <c r="B1167" s="243"/>
      <c r="C1167" s="241"/>
      <c r="D1167" s="241"/>
      <c r="E1167" s="241"/>
    </row>
    <row r="1168" spans="1:5" customFormat="1" ht="24.95" customHeight="1" x14ac:dyDescent="0.25">
      <c r="A1168" s="241"/>
      <c r="B1168" s="243"/>
      <c r="C1168" s="241"/>
      <c r="D1168" s="241"/>
      <c r="E1168" s="241"/>
    </row>
    <row r="1169" spans="1:5" customFormat="1" ht="24.95" customHeight="1" x14ac:dyDescent="0.25">
      <c r="A1169" s="241"/>
      <c r="B1169" s="243"/>
      <c r="C1169" s="241"/>
      <c r="D1169" s="241"/>
      <c r="E1169" s="241"/>
    </row>
    <row r="1170" spans="1:5" customFormat="1" ht="24.95" customHeight="1" x14ac:dyDescent="0.25">
      <c r="A1170" s="241"/>
      <c r="B1170" s="243"/>
      <c r="C1170" s="241"/>
      <c r="D1170" s="241"/>
      <c r="E1170" s="241"/>
    </row>
    <row r="1171" spans="1:5" customFormat="1" ht="24.95" customHeight="1" x14ac:dyDescent="0.25">
      <c r="A1171" s="241"/>
      <c r="B1171" s="243"/>
      <c r="C1171" s="241"/>
      <c r="D1171" s="241"/>
      <c r="E1171" s="241"/>
    </row>
    <row r="1172" spans="1:5" customFormat="1" ht="24.95" customHeight="1" x14ac:dyDescent="0.25">
      <c r="A1172" s="241"/>
      <c r="B1172" s="243"/>
      <c r="C1172" s="241"/>
      <c r="D1172" s="241"/>
      <c r="E1172" s="241"/>
    </row>
    <row r="1173" spans="1:5" customFormat="1" ht="24.95" customHeight="1" x14ac:dyDescent="0.25">
      <c r="A1173" s="241"/>
      <c r="B1173" s="243"/>
      <c r="C1173" s="241"/>
      <c r="D1173" s="241"/>
      <c r="E1173" s="241"/>
    </row>
    <row r="1174" spans="1:5" customFormat="1" ht="24.95" customHeight="1" x14ac:dyDescent="0.25">
      <c r="A1174" s="241"/>
      <c r="B1174" s="243"/>
      <c r="C1174" s="241"/>
      <c r="D1174" s="241"/>
      <c r="E1174" s="241"/>
    </row>
    <row r="1175" spans="1:5" customFormat="1" ht="24.95" customHeight="1" x14ac:dyDescent="0.25">
      <c r="A1175" s="241"/>
      <c r="B1175" s="243"/>
      <c r="C1175" s="241"/>
      <c r="D1175" s="241"/>
      <c r="E1175" s="241"/>
    </row>
    <row r="1176" spans="1:5" customFormat="1" ht="24.95" customHeight="1" x14ac:dyDescent="0.25">
      <c r="A1176" s="241"/>
      <c r="B1176" s="243"/>
      <c r="C1176" s="241"/>
      <c r="D1176" s="241"/>
      <c r="E1176" s="241"/>
    </row>
    <row r="1177" spans="1:5" customFormat="1" ht="24.95" customHeight="1" x14ac:dyDescent="0.25">
      <c r="A1177" s="241"/>
      <c r="B1177" s="243"/>
      <c r="C1177" s="241"/>
      <c r="D1177" s="241"/>
      <c r="E1177" s="241"/>
    </row>
    <row r="1178" spans="1:5" customFormat="1" ht="24.95" customHeight="1" x14ac:dyDescent="0.25">
      <c r="A1178" s="241"/>
      <c r="B1178" s="243"/>
      <c r="C1178" s="241"/>
      <c r="D1178" s="241"/>
      <c r="E1178" s="241"/>
    </row>
    <row r="1179" spans="1:5" customFormat="1" ht="24.95" customHeight="1" x14ac:dyDescent="0.25">
      <c r="A1179" s="241"/>
      <c r="B1179" s="243"/>
      <c r="C1179" s="241"/>
      <c r="D1179" s="241"/>
      <c r="E1179" s="241"/>
    </row>
    <row r="1180" spans="1:5" customFormat="1" ht="24.95" customHeight="1" x14ac:dyDescent="0.25">
      <c r="A1180" s="241"/>
      <c r="B1180" s="243"/>
      <c r="C1180" s="241"/>
      <c r="D1180" s="241"/>
      <c r="E1180" s="241"/>
    </row>
    <row r="1181" spans="1:5" customFormat="1" ht="24.95" customHeight="1" x14ac:dyDescent="0.25">
      <c r="A1181" s="241"/>
      <c r="B1181" s="243"/>
      <c r="C1181" s="241"/>
      <c r="D1181" s="241"/>
      <c r="E1181" s="241"/>
    </row>
    <row r="1182" spans="1:5" customFormat="1" ht="24.95" customHeight="1" x14ac:dyDescent="0.25">
      <c r="A1182" s="241"/>
      <c r="B1182" s="243"/>
      <c r="C1182" s="241"/>
      <c r="D1182" s="241"/>
      <c r="E1182" s="241"/>
    </row>
    <row r="1183" spans="1:5" customFormat="1" ht="24.95" customHeight="1" x14ac:dyDescent="0.25">
      <c r="A1183" s="241"/>
      <c r="B1183" s="243"/>
      <c r="C1183" s="241"/>
      <c r="D1183" s="241"/>
      <c r="E1183" s="241"/>
    </row>
    <row r="1184" spans="1:5" customFormat="1" ht="24.95" customHeight="1" x14ac:dyDescent="0.25">
      <c r="A1184" s="241"/>
      <c r="B1184" s="243"/>
      <c r="C1184" s="241"/>
      <c r="D1184" s="241"/>
      <c r="E1184" s="241"/>
    </row>
    <row r="1185" spans="1:5" customFormat="1" ht="24.95" customHeight="1" x14ac:dyDescent="0.25">
      <c r="A1185" s="241"/>
      <c r="B1185" s="243"/>
      <c r="C1185" s="241"/>
      <c r="D1185" s="241"/>
      <c r="E1185" s="241"/>
    </row>
    <row r="1186" spans="1:5" customFormat="1" ht="24.95" customHeight="1" x14ac:dyDescent="0.25">
      <c r="A1186" s="241"/>
      <c r="B1186" s="243"/>
      <c r="C1186" s="241"/>
      <c r="D1186" s="241"/>
      <c r="E1186" s="241"/>
    </row>
    <row r="1187" spans="1:5" customFormat="1" ht="24.95" customHeight="1" x14ac:dyDescent="0.25">
      <c r="A1187" s="241"/>
      <c r="B1187" s="243"/>
      <c r="C1187" s="241"/>
      <c r="D1187" s="241"/>
      <c r="E1187" s="241"/>
    </row>
    <row r="1188" spans="1:5" customFormat="1" ht="24.95" customHeight="1" x14ac:dyDescent="0.25">
      <c r="A1188" s="241"/>
      <c r="B1188" s="243"/>
      <c r="C1188" s="241"/>
      <c r="D1188" s="241"/>
      <c r="E1188" s="241"/>
    </row>
    <row r="1189" spans="1:5" customFormat="1" ht="24.95" customHeight="1" x14ac:dyDescent="0.25">
      <c r="A1189" s="241"/>
      <c r="B1189" s="243"/>
      <c r="C1189" s="241"/>
      <c r="D1189" s="241"/>
      <c r="E1189" s="241"/>
    </row>
    <row r="1190" spans="1:5" customFormat="1" ht="24.95" customHeight="1" x14ac:dyDescent="0.25">
      <c r="A1190" s="241"/>
      <c r="B1190" s="243"/>
      <c r="C1190" s="241"/>
      <c r="D1190" s="241"/>
      <c r="E1190" s="241"/>
    </row>
    <row r="1191" spans="1:5" customFormat="1" ht="24.95" customHeight="1" x14ac:dyDescent="0.25">
      <c r="A1191" s="241"/>
      <c r="B1191" s="243"/>
      <c r="C1191" s="241"/>
      <c r="D1191" s="241"/>
      <c r="E1191" s="241"/>
    </row>
    <row r="1192" spans="1:5" customFormat="1" ht="24.95" customHeight="1" x14ac:dyDescent="0.25">
      <c r="A1192" s="241"/>
      <c r="B1192" s="243"/>
      <c r="C1192" s="241"/>
      <c r="D1192" s="241"/>
      <c r="E1192" s="241"/>
    </row>
    <row r="1193" spans="1:5" customFormat="1" ht="24.95" customHeight="1" x14ac:dyDescent="0.25">
      <c r="A1193" s="241"/>
      <c r="B1193" s="243"/>
      <c r="C1193" s="241"/>
      <c r="D1193" s="241"/>
      <c r="E1193" s="241"/>
    </row>
    <row r="1194" spans="1:5" customFormat="1" ht="24.95" customHeight="1" x14ac:dyDescent="0.25">
      <c r="A1194" s="241"/>
      <c r="B1194" s="243"/>
      <c r="C1194" s="241"/>
      <c r="D1194" s="241"/>
      <c r="E1194" s="241"/>
    </row>
    <row r="1195" spans="1:5" customFormat="1" ht="24.95" customHeight="1" x14ac:dyDescent="0.25">
      <c r="A1195" s="241"/>
      <c r="B1195" s="243"/>
      <c r="C1195" s="241"/>
      <c r="D1195" s="241"/>
      <c r="E1195" s="241"/>
    </row>
    <row r="1196" spans="1:5" customFormat="1" ht="24.95" customHeight="1" x14ac:dyDescent="0.25">
      <c r="A1196" s="241"/>
      <c r="B1196" s="243"/>
      <c r="C1196" s="241"/>
      <c r="D1196" s="241"/>
      <c r="E1196" s="241"/>
    </row>
    <row r="1197" spans="1:5" customFormat="1" ht="24.95" customHeight="1" x14ac:dyDescent="0.25">
      <c r="A1197" s="241"/>
      <c r="B1197" s="243"/>
      <c r="C1197" s="241"/>
      <c r="D1197" s="241"/>
      <c r="E1197" s="241"/>
    </row>
    <row r="1198" spans="1:5" customFormat="1" ht="24.95" customHeight="1" x14ac:dyDescent="0.25">
      <c r="A1198" s="241"/>
      <c r="B1198" s="243"/>
      <c r="C1198" s="241"/>
      <c r="D1198" s="241"/>
      <c r="E1198" s="241"/>
    </row>
    <row r="1199" spans="1:5" customFormat="1" ht="24.95" customHeight="1" x14ac:dyDescent="0.25">
      <c r="A1199" s="241"/>
      <c r="B1199" s="243"/>
      <c r="C1199" s="241"/>
      <c r="D1199" s="241"/>
      <c r="E1199" s="241"/>
    </row>
    <row r="1200" spans="1:5" customFormat="1" ht="24.95" customHeight="1" x14ac:dyDescent="0.25">
      <c r="A1200" s="241"/>
      <c r="B1200" s="243"/>
      <c r="C1200" s="241"/>
      <c r="D1200" s="241"/>
      <c r="E1200" s="241"/>
    </row>
    <row r="1201" spans="1:5" customFormat="1" ht="24.95" customHeight="1" x14ac:dyDescent="0.25">
      <c r="A1201" s="241"/>
      <c r="B1201" s="243"/>
      <c r="C1201" s="241"/>
      <c r="D1201" s="241"/>
      <c r="E1201" s="241"/>
    </row>
    <row r="1202" spans="1:5" customFormat="1" ht="24.95" customHeight="1" x14ac:dyDescent="0.25">
      <c r="A1202" s="241"/>
      <c r="B1202" s="243"/>
      <c r="C1202" s="241"/>
      <c r="D1202" s="241"/>
      <c r="E1202" s="241"/>
    </row>
    <row r="1203" spans="1:5" customFormat="1" ht="24.95" customHeight="1" x14ac:dyDescent="0.25">
      <c r="A1203" s="241"/>
      <c r="B1203" s="243"/>
      <c r="C1203" s="241"/>
      <c r="D1203" s="241"/>
      <c r="E1203" s="241"/>
    </row>
    <row r="1204" spans="1:5" customFormat="1" ht="24.95" customHeight="1" x14ac:dyDescent="0.25">
      <c r="A1204" s="241"/>
      <c r="B1204" s="243"/>
      <c r="C1204" s="241"/>
      <c r="D1204" s="241"/>
      <c r="E1204" s="241"/>
    </row>
    <row r="1205" spans="1:5" customFormat="1" ht="24.95" customHeight="1" x14ac:dyDescent="0.25">
      <c r="A1205" s="241"/>
      <c r="B1205" s="243"/>
      <c r="C1205" s="241"/>
      <c r="D1205" s="241"/>
      <c r="E1205" s="241"/>
    </row>
    <row r="1206" spans="1:5" customFormat="1" ht="24.95" customHeight="1" x14ac:dyDescent="0.25">
      <c r="A1206" s="241"/>
      <c r="B1206" s="243"/>
      <c r="C1206" s="241"/>
      <c r="D1206" s="241"/>
      <c r="E1206" s="241"/>
    </row>
    <row r="1207" spans="1:5" customFormat="1" ht="24.95" customHeight="1" x14ac:dyDescent="0.25">
      <c r="A1207" s="241"/>
      <c r="B1207" s="243"/>
      <c r="C1207" s="241"/>
      <c r="D1207" s="241"/>
      <c r="E1207" s="241"/>
    </row>
    <row r="1208" spans="1:5" customFormat="1" ht="24.95" customHeight="1" x14ac:dyDescent="0.25">
      <c r="A1208" s="241"/>
      <c r="B1208" s="243"/>
      <c r="C1208" s="241"/>
      <c r="D1208" s="241"/>
      <c r="E1208" s="241"/>
    </row>
    <row r="1209" spans="1:5" customFormat="1" ht="24.95" customHeight="1" x14ac:dyDescent="0.25">
      <c r="A1209" s="241"/>
      <c r="B1209" s="243"/>
      <c r="C1209" s="241"/>
      <c r="D1209" s="241"/>
      <c r="E1209" s="241"/>
    </row>
    <row r="1210" spans="1:5" customFormat="1" ht="24.95" customHeight="1" x14ac:dyDescent="0.25">
      <c r="A1210" s="241"/>
      <c r="B1210" s="243"/>
      <c r="C1210" s="241"/>
      <c r="D1210" s="241"/>
      <c r="E1210" s="241"/>
    </row>
    <row r="1211" spans="1:5" customFormat="1" ht="24.95" customHeight="1" x14ac:dyDescent="0.25">
      <c r="A1211" s="241"/>
      <c r="B1211" s="243"/>
      <c r="C1211" s="241"/>
      <c r="D1211" s="241"/>
      <c r="E1211" s="241"/>
    </row>
    <row r="1212" spans="1:5" customFormat="1" ht="24.95" customHeight="1" x14ac:dyDescent="0.25">
      <c r="A1212" s="241"/>
      <c r="B1212" s="243"/>
      <c r="C1212" s="241"/>
      <c r="D1212" s="241"/>
      <c r="E1212" s="241"/>
    </row>
    <row r="1213" spans="1:5" customFormat="1" ht="24.95" customHeight="1" x14ac:dyDescent="0.25">
      <c r="A1213" s="241"/>
      <c r="B1213" s="243"/>
      <c r="C1213" s="241"/>
      <c r="D1213" s="241"/>
      <c r="E1213" s="241"/>
    </row>
    <row r="1214" spans="1:5" customFormat="1" ht="24.95" customHeight="1" x14ac:dyDescent="0.25">
      <c r="A1214" s="241"/>
      <c r="B1214" s="243"/>
      <c r="C1214" s="241"/>
      <c r="D1214" s="241"/>
      <c r="E1214" s="241"/>
    </row>
    <row r="1215" spans="1:5" customFormat="1" ht="24.95" customHeight="1" x14ac:dyDescent="0.25">
      <c r="A1215" s="241"/>
      <c r="B1215" s="243"/>
      <c r="C1215" s="241"/>
      <c r="D1215" s="241"/>
      <c r="E1215" s="241"/>
    </row>
    <row r="1216" spans="1:5" customFormat="1" ht="24.95" customHeight="1" x14ac:dyDescent="0.25">
      <c r="A1216" s="241"/>
      <c r="B1216" s="243"/>
      <c r="C1216" s="241"/>
      <c r="D1216" s="241"/>
      <c r="E1216" s="241"/>
    </row>
    <row r="1217" spans="1:5" customFormat="1" ht="24.95" customHeight="1" x14ac:dyDescent="0.25">
      <c r="A1217" s="241"/>
      <c r="B1217" s="243"/>
      <c r="C1217" s="241"/>
      <c r="D1217" s="241"/>
      <c r="E1217" s="241"/>
    </row>
    <row r="1218" spans="1:5" customFormat="1" ht="24.95" customHeight="1" x14ac:dyDescent="0.25">
      <c r="A1218" s="241"/>
      <c r="B1218" s="243"/>
      <c r="C1218" s="241"/>
      <c r="D1218" s="241"/>
      <c r="E1218" s="241"/>
    </row>
    <row r="1219" spans="1:5" customFormat="1" ht="24.95" customHeight="1" x14ac:dyDescent="0.25">
      <c r="A1219" s="241"/>
      <c r="B1219" s="243"/>
      <c r="C1219" s="241"/>
      <c r="D1219" s="241"/>
      <c r="E1219" s="241"/>
    </row>
    <row r="1220" spans="1:5" customFormat="1" ht="24.95" customHeight="1" x14ac:dyDescent="0.25">
      <c r="A1220" s="241"/>
      <c r="B1220" s="243"/>
      <c r="C1220" s="241"/>
      <c r="D1220" s="241"/>
      <c r="E1220" s="241"/>
    </row>
    <row r="1221" spans="1:5" customFormat="1" ht="24.95" customHeight="1" x14ac:dyDescent="0.25">
      <c r="A1221" s="241"/>
      <c r="B1221" s="243"/>
      <c r="C1221" s="241"/>
      <c r="D1221" s="241"/>
      <c r="E1221" s="241"/>
    </row>
    <row r="1222" spans="1:5" customFormat="1" ht="24.95" customHeight="1" x14ac:dyDescent="0.25">
      <c r="A1222" s="241"/>
      <c r="B1222" s="243"/>
      <c r="C1222" s="241"/>
      <c r="D1222" s="241"/>
      <c r="E1222" s="241"/>
    </row>
    <row r="1223" spans="1:5" customFormat="1" ht="24.95" customHeight="1" x14ac:dyDescent="0.25">
      <c r="A1223" s="241"/>
      <c r="B1223" s="243"/>
      <c r="C1223" s="241"/>
      <c r="D1223" s="241"/>
      <c r="E1223" s="241"/>
    </row>
    <row r="1224" spans="1:5" customFormat="1" ht="24.95" customHeight="1" x14ac:dyDescent="0.25">
      <c r="A1224" s="241"/>
      <c r="B1224" s="243"/>
      <c r="C1224" s="241"/>
      <c r="D1224" s="241"/>
      <c r="E1224" s="241"/>
    </row>
    <row r="1225" spans="1:5" customFormat="1" ht="24.95" customHeight="1" x14ac:dyDescent="0.25">
      <c r="A1225" s="241"/>
      <c r="B1225" s="243"/>
      <c r="C1225" s="241"/>
      <c r="D1225" s="241"/>
      <c r="E1225" s="241"/>
    </row>
    <row r="1226" spans="1:5" customFormat="1" ht="24.95" customHeight="1" x14ac:dyDescent="0.25">
      <c r="A1226" s="241"/>
      <c r="B1226" s="243"/>
      <c r="C1226" s="241"/>
      <c r="D1226" s="241"/>
      <c r="E1226" s="241"/>
    </row>
    <row r="1227" spans="1:5" customFormat="1" ht="24.95" customHeight="1" x14ac:dyDescent="0.25">
      <c r="A1227" s="241"/>
      <c r="B1227" s="243"/>
      <c r="C1227" s="241"/>
      <c r="D1227" s="241"/>
      <c r="E1227" s="241"/>
    </row>
    <row r="1228" spans="1:5" customFormat="1" ht="24.95" customHeight="1" x14ac:dyDescent="0.25">
      <c r="A1228" s="241"/>
      <c r="B1228" s="243"/>
      <c r="C1228" s="241"/>
      <c r="D1228" s="241"/>
      <c r="E1228" s="241"/>
    </row>
    <row r="1229" spans="1:5" customFormat="1" ht="24.95" customHeight="1" x14ac:dyDescent="0.25">
      <c r="A1229" s="241"/>
      <c r="B1229" s="243"/>
      <c r="C1229" s="241"/>
      <c r="D1229" s="241"/>
      <c r="E1229" s="241"/>
    </row>
    <row r="1230" spans="1:5" customFormat="1" ht="24.95" customHeight="1" x14ac:dyDescent="0.25">
      <c r="A1230" s="241"/>
      <c r="B1230" s="243"/>
      <c r="C1230" s="241"/>
      <c r="D1230" s="241"/>
      <c r="E1230" s="241"/>
    </row>
    <row r="1231" spans="1:5" customFormat="1" ht="24.95" customHeight="1" x14ac:dyDescent="0.25">
      <c r="A1231" s="241"/>
      <c r="B1231" s="243"/>
      <c r="C1231" s="241"/>
      <c r="D1231" s="241"/>
      <c r="E1231" s="241"/>
    </row>
    <row r="1232" spans="1:5" customFormat="1" ht="24.95" customHeight="1" x14ac:dyDescent="0.25">
      <c r="A1232" s="241"/>
      <c r="B1232" s="243"/>
      <c r="C1232" s="241"/>
      <c r="D1232" s="241"/>
      <c r="E1232" s="241"/>
    </row>
    <row r="1233" spans="1:5" customFormat="1" ht="24.95" customHeight="1" x14ac:dyDescent="0.25">
      <c r="A1233" s="241"/>
      <c r="B1233" s="243"/>
      <c r="C1233" s="241"/>
      <c r="D1233" s="241"/>
      <c r="E1233" s="241"/>
    </row>
    <row r="1234" spans="1:5" customFormat="1" ht="24.95" customHeight="1" x14ac:dyDescent="0.25">
      <c r="A1234" s="241"/>
      <c r="B1234" s="243"/>
      <c r="C1234" s="241"/>
      <c r="D1234" s="241"/>
      <c r="E1234" s="241"/>
    </row>
    <row r="1235" spans="1:5" customFormat="1" ht="24.95" customHeight="1" x14ac:dyDescent="0.25">
      <c r="A1235" s="241"/>
      <c r="B1235" s="243"/>
      <c r="C1235" s="241"/>
      <c r="D1235" s="241"/>
      <c r="E1235" s="241"/>
    </row>
    <row r="1236" spans="1:5" customFormat="1" ht="24.95" customHeight="1" x14ac:dyDescent="0.25">
      <c r="A1236" s="241"/>
      <c r="B1236" s="243"/>
      <c r="C1236" s="241"/>
      <c r="D1236" s="241"/>
      <c r="E1236" s="241"/>
    </row>
    <row r="1237" spans="1:5" customFormat="1" ht="24.95" customHeight="1" x14ac:dyDescent="0.25">
      <c r="A1237" s="241"/>
      <c r="B1237" s="243"/>
      <c r="C1237" s="241"/>
      <c r="D1237" s="241"/>
      <c r="E1237" s="241"/>
    </row>
    <row r="1238" spans="1:5" customFormat="1" ht="24.95" customHeight="1" x14ac:dyDescent="0.25">
      <c r="A1238" s="241"/>
      <c r="B1238" s="243"/>
      <c r="C1238" s="241"/>
      <c r="D1238" s="241"/>
      <c r="E1238" s="241"/>
    </row>
    <row r="1239" spans="1:5" customFormat="1" ht="24.95" customHeight="1" x14ac:dyDescent="0.25">
      <c r="A1239" s="241"/>
      <c r="B1239" s="243"/>
      <c r="C1239" s="241"/>
      <c r="D1239" s="241"/>
      <c r="E1239" s="241"/>
    </row>
    <row r="1240" spans="1:5" customFormat="1" ht="24.95" customHeight="1" x14ac:dyDescent="0.25">
      <c r="A1240" s="241"/>
      <c r="B1240" s="243"/>
      <c r="C1240" s="241"/>
      <c r="D1240" s="241"/>
      <c r="E1240" s="241"/>
    </row>
    <row r="1241" spans="1:5" customFormat="1" ht="24.95" customHeight="1" x14ac:dyDescent="0.25">
      <c r="A1241" s="241"/>
      <c r="B1241" s="243"/>
      <c r="C1241" s="241"/>
      <c r="D1241" s="241"/>
      <c r="E1241" s="241"/>
    </row>
    <row r="1242" spans="1:5" customFormat="1" ht="24.95" customHeight="1" x14ac:dyDescent="0.25">
      <c r="A1242" s="241"/>
      <c r="B1242" s="243"/>
      <c r="C1242" s="241"/>
      <c r="D1242" s="241"/>
      <c r="E1242" s="241"/>
    </row>
    <row r="1243" spans="1:5" customFormat="1" ht="24.95" customHeight="1" x14ac:dyDescent="0.25">
      <c r="A1243" s="241"/>
      <c r="B1243" s="243"/>
      <c r="C1243" s="241"/>
      <c r="D1243" s="241"/>
      <c r="E1243" s="241"/>
    </row>
    <row r="1244" spans="1:5" customFormat="1" ht="24.95" customHeight="1" x14ac:dyDescent="0.25">
      <c r="A1244" s="241"/>
      <c r="B1244" s="243"/>
      <c r="C1244" s="241"/>
      <c r="D1244" s="241"/>
      <c r="E1244" s="241"/>
    </row>
    <row r="1245" spans="1:5" customFormat="1" ht="24.95" customHeight="1" x14ac:dyDescent="0.25">
      <c r="A1245" s="241"/>
      <c r="B1245" s="243"/>
      <c r="C1245" s="241"/>
      <c r="D1245" s="241"/>
      <c r="E1245" s="241"/>
    </row>
    <row r="1246" spans="1:5" customFormat="1" ht="24.95" customHeight="1" x14ac:dyDescent="0.25">
      <c r="A1246" s="241"/>
      <c r="B1246" s="243"/>
      <c r="C1246" s="241"/>
      <c r="D1246" s="241"/>
      <c r="E1246" s="241"/>
    </row>
    <row r="1247" spans="1:5" customFormat="1" ht="24.95" customHeight="1" x14ac:dyDescent="0.25">
      <c r="A1247" s="241"/>
      <c r="B1247" s="243"/>
      <c r="C1247" s="241"/>
      <c r="D1247" s="241"/>
      <c r="E1247" s="241"/>
    </row>
    <row r="1248" spans="1:5" customFormat="1" ht="24.95" customHeight="1" x14ac:dyDescent="0.25">
      <c r="A1248" s="241"/>
      <c r="B1248" s="243"/>
      <c r="C1248" s="241"/>
      <c r="D1248" s="241"/>
      <c r="E1248" s="241"/>
    </row>
    <row r="1249" spans="1:5" customFormat="1" ht="24.95" customHeight="1" x14ac:dyDescent="0.25">
      <c r="A1249" s="241"/>
      <c r="B1249" s="243"/>
      <c r="C1249" s="241"/>
      <c r="D1249" s="241"/>
      <c r="E1249" s="241"/>
    </row>
    <row r="1250" spans="1:5" customFormat="1" ht="24.95" customHeight="1" x14ac:dyDescent="0.25">
      <c r="A1250" s="241"/>
      <c r="B1250" s="243"/>
      <c r="C1250" s="241"/>
      <c r="D1250" s="241"/>
      <c r="E1250" s="241"/>
    </row>
    <row r="1251" spans="1:5" customFormat="1" ht="24.95" customHeight="1" x14ac:dyDescent="0.25">
      <c r="A1251" s="241"/>
      <c r="B1251" s="243"/>
      <c r="C1251" s="241"/>
      <c r="D1251" s="241"/>
      <c r="E1251" s="241"/>
    </row>
    <row r="1252" spans="1:5" customFormat="1" ht="24.95" customHeight="1" x14ac:dyDescent="0.25">
      <c r="A1252" s="241"/>
      <c r="B1252" s="243"/>
      <c r="C1252" s="241"/>
      <c r="D1252" s="241"/>
      <c r="E1252" s="241"/>
    </row>
    <row r="1253" spans="1:5" customFormat="1" ht="24.95" customHeight="1" x14ac:dyDescent="0.25">
      <c r="A1253" s="241"/>
      <c r="B1253" s="243"/>
      <c r="C1253" s="241"/>
      <c r="D1253" s="241"/>
      <c r="E1253" s="241"/>
    </row>
    <row r="1254" spans="1:5" customFormat="1" ht="24.95" customHeight="1" x14ac:dyDescent="0.25">
      <c r="A1254" s="241"/>
      <c r="B1254" s="243"/>
      <c r="C1254" s="241"/>
      <c r="D1254" s="241"/>
      <c r="E1254" s="241"/>
    </row>
    <row r="1255" spans="1:5" customFormat="1" ht="24.95" customHeight="1" x14ac:dyDescent="0.25">
      <c r="A1255" s="241"/>
      <c r="B1255" s="243"/>
      <c r="C1255" s="241"/>
      <c r="D1255" s="241"/>
      <c r="E1255" s="241"/>
    </row>
    <row r="1256" spans="1:5" customFormat="1" ht="24.95" customHeight="1" x14ac:dyDescent="0.25">
      <c r="A1256" s="241"/>
      <c r="B1256" s="243"/>
      <c r="C1256" s="241"/>
      <c r="D1256" s="241"/>
      <c r="E1256" s="241"/>
    </row>
    <row r="1257" spans="1:5" customFormat="1" ht="24.95" customHeight="1" x14ac:dyDescent="0.25">
      <c r="A1257" s="241"/>
      <c r="B1257" s="243"/>
      <c r="C1257" s="241"/>
      <c r="D1257" s="241"/>
      <c r="E1257" s="241"/>
    </row>
    <row r="1258" spans="1:5" customFormat="1" ht="24.95" customHeight="1" x14ac:dyDescent="0.25">
      <c r="A1258" s="241"/>
      <c r="B1258" s="243"/>
      <c r="C1258" s="241"/>
      <c r="D1258" s="241"/>
      <c r="E1258" s="241"/>
    </row>
    <row r="1259" spans="1:5" customFormat="1" ht="24.95" customHeight="1" x14ac:dyDescent="0.25">
      <c r="A1259" s="241"/>
      <c r="B1259" s="243"/>
      <c r="C1259" s="241"/>
      <c r="D1259" s="241"/>
      <c r="E1259" s="241"/>
    </row>
    <row r="1260" spans="1:5" customFormat="1" ht="24.95" customHeight="1" x14ac:dyDescent="0.25">
      <c r="A1260" s="241"/>
      <c r="B1260" s="243"/>
      <c r="C1260" s="241"/>
      <c r="D1260" s="241"/>
      <c r="E1260" s="241"/>
    </row>
    <row r="1261" spans="1:5" customFormat="1" ht="24.95" customHeight="1" x14ac:dyDescent="0.25">
      <c r="A1261" s="241"/>
      <c r="B1261" s="243"/>
      <c r="C1261" s="241"/>
      <c r="D1261" s="241"/>
      <c r="E1261" s="241"/>
    </row>
    <row r="1262" spans="1:5" customFormat="1" ht="24.95" customHeight="1" x14ac:dyDescent="0.25">
      <c r="A1262" s="241"/>
      <c r="B1262" s="243"/>
      <c r="C1262" s="241"/>
      <c r="D1262" s="241"/>
      <c r="E1262" s="241"/>
    </row>
    <row r="1263" spans="1:5" customFormat="1" ht="24.95" customHeight="1" x14ac:dyDescent="0.25">
      <c r="A1263" s="241"/>
      <c r="B1263" s="243"/>
      <c r="C1263" s="241"/>
      <c r="D1263" s="241"/>
      <c r="E1263" s="241"/>
    </row>
    <row r="1264" spans="1:5" customFormat="1" ht="24.95" customHeight="1" x14ac:dyDescent="0.25">
      <c r="A1264" s="241"/>
      <c r="B1264" s="243"/>
      <c r="C1264" s="241"/>
      <c r="D1264" s="241"/>
      <c r="E1264" s="241"/>
    </row>
    <row r="1265" spans="1:5" customFormat="1" ht="24.95" customHeight="1" x14ac:dyDescent="0.25">
      <c r="A1265" s="241"/>
      <c r="B1265" s="243"/>
      <c r="C1265" s="241"/>
      <c r="D1265" s="241"/>
      <c r="E1265" s="241"/>
    </row>
    <row r="1266" spans="1:5" customFormat="1" ht="24.95" customHeight="1" x14ac:dyDescent="0.25">
      <c r="A1266" s="241"/>
      <c r="B1266" s="243"/>
      <c r="C1266" s="241"/>
      <c r="D1266" s="241"/>
      <c r="E1266" s="241"/>
    </row>
    <row r="1267" spans="1:5" customFormat="1" ht="24.95" customHeight="1" x14ac:dyDescent="0.25">
      <c r="A1267" s="241"/>
      <c r="B1267" s="243"/>
      <c r="C1267" s="241"/>
      <c r="D1267" s="241"/>
      <c r="E1267" s="241"/>
    </row>
    <row r="1268" spans="1:5" customFormat="1" ht="24.95" customHeight="1" x14ac:dyDescent="0.25">
      <c r="A1268" s="241"/>
      <c r="B1268" s="243"/>
      <c r="C1268" s="241"/>
      <c r="D1268" s="241"/>
      <c r="E1268" s="241"/>
    </row>
    <row r="1269" spans="1:5" customFormat="1" ht="24.95" customHeight="1" x14ac:dyDescent="0.25">
      <c r="A1269" s="241"/>
      <c r="B1269" s="243"/>
      <c r="C1269" s="241"/>
      <c r="D1269" s="241"/>
      <c r="E1269" s="241"/>
    </row>
    <row r="1270" spans="1:5" customFormat="1" ht="24.95" customHeight="1" x14ac:dyDescent="0.25">
      <c r="A1270" s="241"/>
      <c r="B1270" s="243"/>
      <c r="C1270" s="241"/>
      <c r="D1270" s="241"/>
      <c r="E1270" s="241"/>
    </row>
    <row r="1271" spans="1:5" customFormat="1" ht="24.95" customHeight="1" x14ac:dyDescent="0.25">
      <c r="A1271" s="241"/>
      <c r="B1271" s="243"/>
      <c r="C1271" s="241"/>
      <c r="D1271" s="241"/>
      <c r="E1271" s="241"/>
    </row>
    <row r="1272" spans="1:5" customFormat="1" ht="24.95" customHeight="1" x14ac:dyDescent="0.25">
      <c r="A1272" s="241"/>
      <c r="B1272" s="243"/>
      <c r="C1272" s="241"/>
      <c r="D1272" s="241"/>
      <c r="E1272" s="241"/>
    </row>
    <row r="1273" spans="1:5" customFormat="1" ht="24.95" customHeight="1" x14ac:dyDescent="0.25">
      <c r="A1273" s="241"/>
      <c r="B1273" s="243"/>
      <c r="C1273" s="241"/>
      <c r="D1273" s="241"/>
      <c r="E1273" s="241"/>
    </row>
    <row r="1274" spans="1:5" customFormat="1" ht="24.95" customHeight="1" x14ac:dyDescent="0.25">
      <c r="A1274" s="241"/>
      <c r="B1274" s="243"/>
      <c r="C1274" s="241"/>
      <c r="D1274" s="241"/>
      <c r="E1274" s="241"/>
    </row>
    <row r="1275" spans="1:5" customFormat="1" ht="24.95" customHeight="1" x14ac:dyDescent="0.25">
      <c r="A1275" s="241"/>
      <c r="B1275" s="243"/>
      <c r="C1275" s="241"/>
      <c r="D1275" s="241"/>
      <c r="E1275" s="241"/>
    </row>
    <row r="1276" spans="1:5" customFormat="1" ht="24.95" customHeight="1" x14ac:dyDescent="0.25">
      <c r="A1276" s="241"/>
      <c r="B1276" s="243"/>
      <c r="C1276" s="241"/>
      <c r="D1276" s="241"/>
      <c r="E1276" s="241"/>
    </row>
    <row r="1277" spans="1:5" customFormat="1" ht="24.95" customHeight="1" x14ac:dyDescent="0.25">
      <c r="A1277" s="241"/>
      <c r="B1277" s="243"/>
      <c r="C1277" s="241"/>
      <c r="D1277" s="241"/>
      <c r="E1277" s="241"/>
    </row>
    <row r="1278" spans="1:5" customFormat="1" ht="24.95" customHeight="1" x14ac:dyDescent="0.25">
      <c r="A1278" s="241"/>
      <c r="B1278" s="243"/>
      <c r="C1278" s="241"/>
      <c r="D1278" s="241"/>
      <c r="E1278" s="241"/>
    </row>
    <row r="1279" spans="1:5" customFormat="1" ht="24.95" customHeight="1" x14ac:dyDescent="0.25">
      <c r="A1279" s="241"/>
      <c r="B1279" s="243"/>
      <c r="C1279" s="241"/>
      <c r="D1279" s="241"/>
      <c r="E1279" s="241"/>
    </row>
    <row r="1280" spans="1:5" customFormat="1" ht="24.95" customHeight="1" x14ac:dyDescent="0.25">
      <c r="A1280" s="241"/>
      <c r="B1280" s="243"/>
      <c r="C1280" s="241"/>
      <c r="D1280" s="241"/>
      <c r="E1280" s="241"/>
    </row>
    <row r="1281" spans="1:5" customFormat="1" ht="24.95" customHeight="1" x14ac:dyDescent="0.25">
      <c r="A1281" s="241"/>
      <c r="B1281" s="243"/>
      <c r="C1281" s="241"/>
      <c r="D1281" s="241"/>
      <c r="E1281" s="241"/>
    </row>
    <row r="1282" spans="1:5" customFormat="1" ht="24.95" customHeight="1" x14ac:dyDescent="0.25">
      <c r="A1282" s="241"/>
      <c r="B1282" s="243"/>
      <c r="C1282" s="241"/>
      <c r="D1282" s="241"/>
      <c r="E1282" s="241"/>
    </row>
    <row r="1283" spans="1:5" customFormat="1" ht="24.95" customHeight="1" x14ac:dyDescent="0.25">
      <c r="A1283" s="241"/>
      <c r="B1283" s="243"/>
      <c r="C1283" s="241"/>
      <c r="D1283" s="241"/>
      <c r="E1283" s="241"/>
    </row>
    <row r="1284" spans="1:5" customFormat="1" ht="24.95" customHeight="1" x14ac:dyDescent="0.25">
      <c r="A1284" s="241"/>
      <c r="B1284" s="243"/>
      <c r="C1284" s="241"/>
      <c r="D1284" s="241"/>
      <c r="E1284" s="241"/>
    </row>
    <row r="1285" spans="1:5" customFormat="1" ht="24.95" customHeight="1" x14ac:dyDescent="0.25">
      <c r="A1285" s="241"/>
      <c r="B1285" s="243"/>
      <c r="C1285" s="241"/>
      <c r="D1285" s="241"/>
      <c r="E1285" s="241"/>
    </row>
    <row r="1286" spans="1:5" customFormat="1" ht="24.95" customHeight="1" x14ac:dyDescent="0.25">
      <c r="A1286" s="241"/>
      <c r="B1286" s="243"/>
      <c r="C1286" s="241"/>
      <c r="D1286" s="241"/>
      <c r="E1286" s="241"/>
    </row>
    <row r="1287" spans="1:5" customFormat="1" ht="24.95" customHeight="1" x14ac:dyDescent="0.25">
      <c r="A1287" s="241"/>
      <c r="B1287" s="243"/>
      <c r="C1287" s="241"/>
      <c r="D1287" s="241"/>
      <c r="E1287" s="241"/>
    </row>
    <row r="1288" spans="1:5" customFormat="1" ht="24.95" customHeight="1" x14ac:dyDescent="0.25">
      <c r="A1288" s="241"/>
      <c r="B1288" s="243"/>
      <c r="C1288" s="241"/>
      <c r="D1288" s="241"/>
      <c r="E1288" s="241"/>
    </row>
    <row r="1289" spans="1:5" customFormat="1" ht="24.95" customHeight="1" x14ac:dyDescent="0.25">
      <c r="A1289" s="241"/>
      <c r="B1289" s="243"/>
      <c r="C1289" s="241"/>
      <c r="D1289" s="241"/>
      <c r="E1289" s="241"/>
    </row>
    <row r="1290" spans="1:5" customFormat="1" ht="24.95" customHeight="1" x14ac:dyDescent="0.25">
      <c r="A1290" s="241"/>
      <c r="B1290" s="243"/>
      <c r="C1290" s="241"/>
      <c r="D1290" s="241"/>
      <c r="E1290" s="241"/>
    </row>
    <row r="1291" spans="1:5" customFormat="1" ht="24.95" customHeight="1" x14ac:dyDescent="0.25">
      <c r="A1291" s="241"/>
      <c r="B1291" s="243"/>
      <c r="C1291" s="241"/>
      <c r="D1291" s="241"/>
      <c r="E1291" s="241"/>
    </row>
    <row r="1292" spans="1:5" customFormat="1" ht="24.95" customHeight="1" x14ac:dyDescent="0.25">
      <c r="A1292" s="241"/>
      <c r="B1292" s="243"/>
      <c r="C1292" s="241"/>
      <c r="D1292" s="241"/>
      <c r="E1292" s="241"/>
    </row>
    <row r="1293" spans="1:5" customFormat="1" ht="24.95" customHeight="1" x14ac:dyDescent="0.25">
      <c r="A1293" s="241"/>
      <c r="B1293" s="243"/>
      <c r="C1293" s="241"/>
      <c r="D1293" s="241"/>
      <c r="E1293" s="241"/>
    </row>
    <row r="1294" spans="1:5" customFormat="1" ht="24.95" customHeight="1" x14ac:dyDescent="0.25">
      <c r="A1294" s="241"/>
      <c r="B1294" s="243"/>
      <c r="C1294" s="241"/>
      <c r="D1294" s="241"/>
      <c r="E1294" s="241"/>
    </row>
    <row r="1295" spans="1:5" customFormat="1" ht="24.95" customHeight="1" x14ac:dyDescent="0.25">
      <c r="A1295" s="241"/>
      <c r="B1295" s="243"/>
      <c r="C1295" s="241"/>
      <c r="D1295" s="241"/>
      <c r="E1295" s="241"/>
    </row>
    <row r="1296" spans="1:5" customFormat="1" ht="24.95" customHeight="1" x14ac:dyDescent="0.25">
      <c r="A1296" s="241"/>
      <c r="B1296" s="243"/>
      <c r="C1296" s="241"/>
      <c r="D1296" s="241"/>
      <c r="E1296" s="241"/>
    </row>
    <row r="1297" spans="1:5" customFormat="1" ht="24.95" customHeight="1" x14ac:dyDescent="0.25">
      <c r="A1297" s="241"/>
      <c r="B1297" s="243"/>
      <c r="C1297" s="241"/>
      <c r="D1297" s="241"/>
      <c r="E1297" s="241"/>
    </row>
    <row r="1298" spans="1:5" customFormat="1" ht="24.95" customHeight="1" x14ac:dyDescent="0.25">
      <c r="A1298" s="241"/>
      <c r="B1298" s="243"/>
      <c r="C1298" s="241"/>
      <c r="D1298" s="241"/>
      <c r="E1298" s="241"/>
    </row>
    <row r="1299" spans="1:5" customFormat="1" ht="24.95" customHeight="1" x14ac:dyDescent="0.25">
      <c r="A1299" s="241"/>
      <c r="B1299" s="243"/>
      <c r="C1299" s="241"/>
      <c r="D1299" s="241"/>
      <c r="E1299" s="241"/>
    </row>
    <row r="1300" spans="1:5" customFormat="1" ht="24.95" customHeight="1" x14ac:dyDescent="0.25">
      <c r="A1300" s="241"/>
      <c r="B1300" s="243"/>
      <c r="C1300" s="241"/>
      <c r="D1300" s="241"/>
      <c r="E1300" s="241"/>
    </row>
    <row r="1301" spans="1:5" customFormat="1" ht="24.95" customHeight="1" x14ac:dyDescent="0.25">
      <c r="A1301" s="241"/>
      <c r="B1301" s="243"/>
      <c r="C1301" s="241"/>
      <c r="D1301" s="241"/>
      <c r="E1301" s="241"/>
    </row>
    <row r="1302" spans="1:5" customFormat="1" ht="24.95" customHeight="1" x14ac:dyDescent="0.25">
      <c r="A1302" s="241"/>
      <c r="B1302" s="243"/>
      <c r="C1302" s="241"/>
      <c r="D1302" s="241"/>
      <c r="E1302" s="241"/>
    </row>
    <row r="1303" spans="1:5" customFormat="1" ht="24.95" customHeight="1" x14ac:dyDescent="0.25">
      <c r="A1303" s="241"/>
      <c r="B1303" s="243"/>
      <c r="C1303" s="241"/>
      <c r="D1303" s="241"/>
      <c r="E1303" s="241"/>
    </row>
    <row r="1304" spans="1:5" customFormat="1" ht="24.95" customHeight="1" x14ac:dyDescent="0.25">
      <c r="A1304" s="241"/>
      <c r="B1304" s="243"/>
      <c r="C1304" s="241"/>
      <c r="D1304" s="241"/>
      <c r="E1304" s="241"/>
    </row>
    <row r="1305" spans="1:5" customFormat="1" ht="24.95" customHeight="1" x14ac:dyDescent="0.25">
      <c r="A1305" s="241"/>
      <c r="B1305" s="243"/>
      <c r="C1305" s="241"/>
      <c r="D1305" s="241"/>
      <c r="E1305" s="241"/>
    </row>
    <row r="1306" spans="1:5" customFormat="1" ht="24.95" customHeight="1" x14ac:dyDescent="0.25">
      <c r="A1306" s="241"/>
      <c r="B1306" s="243"/>
      <c r="C1306" s="241"/>
      <c r="D1306" s="241"/>
      <c r="E1306" s="241"/>
    </row>
    <row r="1307" spans="1:5" customFormat="1" ht="24.95" customHeight="1" x14ac:dyDescent="0.25">
      <c r="A1307" s="241"/>
      <c r="B1307" s="243"/>
      <c r="C1307" s="241"/>
      <c r="D1307" s="241"/>
      <c r="E1307" s="241"/>
    </row>
    <row r="1308" spans="1:5" customFormat="1" ht="24.95" customHeight="1" x14ac:dyDescent="0.25">
      <c r="A1308" s="241"/>
      <c r="B1308" s="243"/>
      <c r="C1308" s="241"/>
      <c r="D1308" s="241"/>
      <c r="E1308" s="241"/>
    </row>
    <row r="1309" spans="1:5" customFormat="1" ht="24.95" customHeight="1" x14ac:dyDescent="0.25">
      <c r="A1309" s="241"/>
      <c r="B1309" s="243"/>
      <c r="C1309" s="241"/>
      <c r="D1309" s="241"/>
      <c r="E1309" s="241"/>
    </row>
    <row r="1310" spans="1:5" customFormat="1" ht="24.95" customHeight="1" x14ac:dyDescent="0.25">
      <c r="A1310" s="241"/>
      <c r="B1310" s="243"/>
      <c r="C1310" s="241"/>
      <c r="D1310" s="241"/>
      <c r="E1310" s="241"/>
    </row>
    <row r="1311" spans="1:5" customFormat="1" ht="24.95" customHeight="1" x14ac:dyDescent="0.25">
      <c r="A1311" s="241"/>
      <c r="B1311" s="243"/>
      <c r="C1311" s="241"/>
      <c r="D1311" s="241"/>
      <c r="E1311" s="241"/>
    </row>
    <row r="1312" spans="1:5" customFormat="1" ht="24.95" customHeight="1" x14ac:dyDescent="0.25">
      <c r="A1312" s="241"/>
      <c r="B1312" s="243"/>
      <c r="C1312" s="241"/>
      <c r="D1312" s="241"/>
      <c r="E1312" s="241"/>
    </row>
    <row r="1313" spans="1:5" customFormat="1" ht="24.95" customHeight="1" x14ac:dyDescent="0.25">
      <c r="A1313" s="241"/>
      <c r="B1313" s="243"/>
      <c r="C1313" s="241"/>
      <c r="D1313" s="241"/>
      <c r="E1313" s="241"/>
    </row>
    <row r="1314" spans="1:5" customFormat="1" ht="24.95" customHeight="1" x14ac:dyDescent="0.25">
      <c r="A1314" s="241"/>
      <c r="B1314" s="243"/>
      <c r="C1314" s="241"/>
      <c r="D1314" s="241"/>
      <c r="E1314" s="241"/>
    </row>
    <row r="1315" spans="1:5" customFormat="1" ht="24.95" customHeight="1" x14ac:dyDescent="0.25">
      <c r="A1315" s="241"/>
      <c r="B1315" s="243"/>
      <c r="C1315" s="241"/>
      <c r="D1315" s="241"/>
      <c r="E1315" s="241"/>
    </row>
    <row r="1316" spans="1:5" customFormat="1" ht="24.95" customHeight="1" x14ac:dyDescent="0.25">
      <c r="A1316" s="241"/>
      <c r="B1316" s="243"/>
      <c r="C1316" s="241"/>
      <c r="D1316" s="241"/>
      <c r="E1316" s="241"/>
    </row>
    <row r="1317" spans="1:5" customFormat="1" ht="24.95" customHeight="1" x14ac:dyDescent="0.25">
      <c r="A1317" s="241"/>
      <c r="B1317" s="243"/>
      <c r="C1317" s="241"/>
      <c r="D1317" s="241"/>
      <c r="E1317" s="241"/>
    </row>
    <row r="1318" spans="1:5" customFormat="1" ht="24.95" customHeight="1" x14ac:dyDescent="0.25">
      <c r="A1318" s="241"/>
      <c r="B1318" s="243"/>
      <c r="C1318" s="241"/>
      <c r="D1318" s="241"/>
      <c r="E1318" s="241"/>
    </row>
    <row r="1319" spans="1:5" customFormat="1" ht="24.95" customHeight="1" x14ac:dyDescent="0.25">
      <c r="A1319" s="241"/>
      <c r="B1319" s="243"/>
      <c r="C1319" s="241"/>
      <c r="D1319" s="241"/>
      <c r="E1319" s="241"/>
    </row>
    <row r="1320" spans="1:5" customFormat="1" ht="24.95" customHeight="1" x14ac:dyDescent="0.25">
      <c r="A1320" s="241"/>
      <c r="B1320" s="243"/>
      <c r="C1320" s="241"/>
      <c r="D1320" s="241"/>
      <c r="E1320" s="241"/>
    </row>
    <row r="1321" spans="1:5" customFormat="1" ht="24.95" customHeight="1" x14ac:dyDescent="0.25">
      <c r="A1321" s="241"/>
      <c r="B1321" s="243"/>
      <c r="C1321" s="241"/>
      <c r="D1321" s="241"/>
      <c r="E1321" s="241"/>
    </row>
    <row r="1322" spans="1:5" customFormat="1" ht="24.95" customHeight="1" x14ac:dyDescent="0.25">
      <c r="A1322" s="241"/>
      <c r="B1322" s="243"/>
      <c r="C1322" s="241"/>
      <c r="D1322" s="241"/>
      <c r="E1322" s="241"/>
    </row>
    <row r="1323" spans="1:5" customFormat="1" ht="24.95" customHeight="1" x14ac:dyDescent="0.25">
      <c r="A1323" s="241"/>
      <c r="B1323" s="243"/>
      <c r="C1323" s="241"/>
      <c r="D1323" s="241"/>
      <c r="E1323" s="241"/>
    </row>
    <row r="1324" spans="1:5" customFormat="1" ht="24.95" customHeight="1" x14ac:dyDescent="0.25">
      <c r="A1324" s="241"/>
      <c r="B1324" s="243"/>
      <c r="C1324" s="241"/>
      <c r="D1324" s="241"/>
      <c r="E1324" s="241"/>
    </row>
    <row r="1325" spans="1:5" customFormat="1" ht="24.95" customHeight="1" x14ac:dyDescent="0.25">
      <c r="A1325" s="241"/>
      <c r="B1325" s="243"/>
      <c r="C1325" s="241"/>
      <c r="D1325" s="241"/>
      <c r="E1325" s="241"/>
    </row>
    <row r="1326" spans="1:5" customFormat="1" ht="24.95" customHeight="1" x14ac:dyDescent="0.25">
      <c r="A1326" s="241"/>
      <c r="B1326" s="243"/>
      <c r="C1326" s="241"/>
      <c r="D1326" s="241"/>
      <c r="E1326" s="241"/>
    </row>
    <row r="1327" spans="1:5" customFormat="1" ht="24.95" customHeight="1" x14ac:dyDescent="0.25">
      <c r="A1327" s="241"/>
      <c r="B1327" s="243"/>
      <c r="C1327" s="241"/>
      <c r="D1327" s="241"/>
      <c r="E1327" s="241"/>
    </row>
    <row r="1328" spans="1:5" customFormat="1" ht="24.95" customHeight="1" x14ac:dyDescent="0.25">
      <c r="A1328" s="241"/>
      <c r="B1328" s="243"/>
      <c r="C1328" s="241"/>
      <c r="D1328" s="241"/>
      <c r="E1328" s="241"/>
    </row>
    <row r="1329" spans="1:5" customFormat="1" ht="24.95" customHeight="1" x14ac:dyDescent="0.25">
      <c r="A1329" s="241"/>
      <c r="B1329" s="243"/>
      <c r="C1329" s="241"/>
      <c r="D1329" s="241"/>
      <c r="E1329" s="241"/>
    </row>
    <row r="1330" spans="1:5" customFormat="1" ht="24.95" customHeight="1" x14ac:dyDescent="0.25">
      <c r="A1330" s="241"/>
      <c r="B1330" s="243"/>
      <c r="C1330" s="241"/>
      <c r="D1330" s="241"/>
      <c r="E1330" s="241"/>
    </row>
    <row r="1331" spans="1:5" customFormat="1" ht="24.95" customHeight="1" x14ac:dyDescent="0.25">
      <c r="A1331" s="241"/>
      <c r="B1331" s="243"/>
      <c r="C1331" s="241"/>
      <c r="D1331" s="241"/>
      <c r="E1331" s="241"/>
    </row>
    <row r="1332" spans="1:5" customFormat="1" ht="24.95" customHeight="1" x14ac:dyDescent="0.25">
      <c r="A1332" s="241"/>
      <c r="B1332" s="243"/>
      <c r="C1332" s="241"/>
      <c r="D1332" s="241"/>
      <c r="E1332" s="241"/>
    </row>
    <row r="1333" spans="1:5" customFormat="1" ht="24.95" customHeight="1" x14ac:dyDescent="0.25">
      <c r="A1333" s="241"/>
      <c r="B1333" s="243"/>
      <c r="C1333" s="241"/>
      <c r="D1333" s="241"/>
      <c r="E1333" s="241"/>
    </row>
    <row r="1334" spans="1:5" customFormat="1" ht="24.95" customHeight="1" x14ac:dyDescent="0.25">
      <c r="A1334" s="241"/>
      <c r="B1334" s="243"/>
      <c r="C1334" s="241"/>
      <c r="D1334" s="241"/>
      <c r="E1334" s="241"/>
    </row>
    <row r="1335" spans="1:5" customFormat="1" ht="24.95" customHeight="1" x14ac:dyDescent="0.25">
      <c r="A1335" s="241"/>
      <c r="B1335" s="243"/>
      <c r="C1335" s="241"/>
      <c r="D1335" s="241"/>
      <c r="E1335" s="241"/>
    </row>
    <row r="1336" spans="1:5" customFormat="1" ht="24.95" customHeight="1" x14ac:dyDescent="0.25">
      <c r="A1336" s="241"/>
      <c r="B1336" s="243"/>
      <c r="C1336" s="241"/>
      <c r="D1336" s="241"/>
      <c r="E1336" s="241"/>
    </row>
    <row r="1337" spans="1:5" customFormat="1" ht="24.95" customHeight="1" x14ac:dyDescent="0.25">
      <c r="A1337" s="241"/>
      <c r="B1337" s="243"/>
      <c r="C1337" s="241"/>
      <c r="D1337" s="241"/>
      <c r="E1337" s="241"/>
    </row>
    <row r="1338" spans="1:5" customFormat="1" ht="24.95" customHeight="1" x14ac:dyDescent="0.25">
      <c r="A1338" s="241"/>
      <c r="B1338" s="243"/>
      <c r="C1338" s="241"/>
      <c r="D1338" s="241"/>
      <c r="E1338" s="241"/>
    </row>
    <row r="1339" spans="1:5" customFormat="1" ht="24.95" customHeight="1" x14ac:dyDescent="0.25">
      <c r="A1339" s="241"/>
      <c r="B1339" s="243"/>
      <c r="C1339" s="241"/>
      <c r="D1339" s="241"/>
      <c r="E1339" s="241"/>
    </row>
    <row r="1340" spans="1:5" customFormat="1" ht="24.95" customHeight="1" x14ac:dyDescent="0.25">
      <c r="A1340" s="241"/>
      <c r="B1340" s="243"/>
      <c r="C1340" s="241"/>
      <c r="D1340" s="241"/>
      <c r="E1340" s="241"/>
    </row>
    <row r="1341" spans="1:5" customFormat="1" ht="24.95" customHeight="1" x14ac:dyDescent="0.25">
      <c r="A1341" s="241"/>
      <c r="B1341" s="243"/>
      <c r="C1341" s="241"/>
      <c r="D1341" s="241"/>
      <c r="E1341" s="241"/>
    </row>
    <row r="1342" spans="1:5" customFormat="1" ht="24.95" customHeight="1" x14ac:dyDescent="0.25">
      <c r="A1342" s="241"/>
      <c r="B1342" s="243"/>
      <c r="C1342" s="241"/>
      <c r="D1342" s="241"/>
      <c r="E1342" s="241"/>
    </row>
    <row r="1343" spans="1:5" customFormat="1" ht="24.95" customHeight="1" x14ac:dyDescent="0.25">
      <c r="A1343" s="241"/>
      <c r="B1343" s="243"/>
      <c r="C1343" s="241"/>
      <c r="D1343" s="241"/>
      <c r="E1343" s="241"/>
    </row>
    <row r="1344" spans="1:5" customFormat="1" ht="24.95" customHeight="1" x14ac:dyDescent="0.25">
      <c r="A1344" s="241"/>
      <c r="B1344" s="243"/>
      <c r="C1344" s="241"/>
      <c r="D1344" s="241"/>
      <c r="E1344" s="241"/>
    </row>
    <row r="1345" spans="1:5" customFormat="1" ht="24.95" customHeight="1" x14ac:dyDescent="0.25">
      <c r="A1345" s="241"/>
      <c r="B1345" s="243"/>
      <c r="C1345" s="241"/>
      <c r="D1345" s="241"/>
      <c r="E1345" s="241"/>
    </row>
    <row r="1346" spans="1:5" customFormat="1" ht="24.95" customHeight="1" x14ac:dyDescent="0.25">
      <c r="A1346" s="241"/>
      <c r="B1346" s="243"/>
      <c r="C1346" s="241"/>
      <c r="D1346" s="241"/>
      <c r="E1346" s="241"/>
    </row>
    <row r="1347" spans="1:5" customFormat="1" ht="24.95" customHeight="1" x14ac:dyDescent="0.25">
      <c r="A1347" s="241"/>
      <c r="B1347" s="243"/>
      <c r="C1347" s="241"/>
      <c r="D1347" s="241"/>
      <c r="E1347" s="241"/>
    </row>
    <row r="1348" spans="1:5" customFormat="1" ht="24.95" customHeight="1" x14ac:dyDescent="0.25">
      <c r="A1348" s="241"/>
      <c r="B1348" s="243"/>
      <c r="C1348" s="241"/>
      <c r="D1348" s="241"/>
      <c r="E1348" s="241"/>
    </row>
    <row r="1349" spans="1:5" customFormat="1" ht="24.95" customHeight="1" x14ac:dyDescent="0.25">
      <c r="A1349" s="241"/>
      <c r="B1349" s="243"/>
      <c r="C1349" s="241"/>
      <c r="D1349" s="241"/>
      <c r="E1349" s="241"/>
    </row>
    <row r="1350" spans="1:5" customFormat="1" ht="24.95" customHeight="1" x14ac:dyDescent="0.25">
      <c r="A1350" s="241"/>
      <c r="B1350" s="243"/>
      <c r="C1350" s="241"/>
      <c r="D1350" s="241"/>
      <c r="E1350" s="241"/>
    </row>
    <row r="1351" spans="1:5" customFormat="1" ht="24.95" customHeight="1" x14ac:dyDescent="0.25">
      <c r="A1351" s="241"/>
      <c r="B1351" s="243"/>
      <c r="C1351" s="241"/>
      <c r="D1351" s="241"/>
      <c r="E1351" s="241"/>
    </row>
    <row r="1352" spans="1:5" customFormat="1" ht="24.95" customHeight="1" x14ac:dyDescent="0.25">
      <c r="A1352" s="241"/>
      <c r="B1352" s="243"/>
      <c r="C1352" s="241"/>
      <c r="D1352" s="241"/>
      <c r="E1352" s="241"/>
    </row>
    <row r="1353" spans="1:5" customFormat="1" ht="24.95" customHeight="1" x14ac:dyDescent="0.25">
      <c r="A1353" s="241"/>
      <c r="B1353" s="243"/>
      <c r="C1353" s="241"/>
      <c r="D1353" s="241"/>
      <c r="E1353" s="241"/>
    </row>
    <row r="1354" spans="1:5" customFormat="1" ht="24.95" customHeight="1" x14ac:dyDescent="0.25">
      <c r="A1354" s="241"/>
      <c r="B1354" s="243"/>
      <c r="C1354" s="241"/>
      <c r="D1354" s="241"/>
      <c r="E1354" s="241"/>
    </row>
    <row r="1355" spans="1:5" customFormat="1" ht="24.95" customHeight="1" x14ac:dyDescent="0.25">
      <c r="A1355" s="241"/>
      <c r="B1355" s="243"/>
      <c r="C1355" s="241"/>
      <c r="D1355" s="241"/>
      <c r="E1355" s="241"/>
    </row>
    <row r="1356" spans="1:5" customFormat="1" ht="24.95" customHeight="1" x14ac:dyDescent="0.25">
      <c r="A1356" s="241"/>
      <c r="B1356" s="243"/>
      <c r="C1356" s="241"/>
      <c r="D1356" s="241"/>
      <c r="E1356" s="241"/>
    </row>
    <row r="1357" spans="1:5" customFormat="1" ht="24.95" customHeight="1" x14ac:dyDescent="0.25">
      <c r="A1357" s="241"/>
      <c r="B1357" s="243"/>
      <c r="C1357" s="241"/>
      <c r="D1357" s="241"/>
      <c r="E1357" s="241"/>
    </row>
    <row r="1358" spans="1:5" customFormat="1" ht="24.95" customHeight="1" x14ac:dyDescent="0.25">
      <c r="A1358" s="241"/>
      <c r="B1358" s="243"/>
      <c r="C1358" s="241"/>
      <c r="D1358" s="241"/>
      <c r="E1358" s="241"/>
    </row>
    <row r="1359" spans="1:5" customFormat="1" ht="24.95" customHeight="1" x14ac:dyDescent="0.25">
      <c r="A1359" s="241"/>
      <c r="B1359" s="243"/>
      <c r="C1359" s="241"/>
      <c r="D1359" s="241"/>
      <c r="E1359" s="241"/>
    </row>
    <row r="1360" spans="1:5" customFormat="1" ht="24.95" customHeight="1" x14ac:dyDescent="0.25">
      <c r="A1360" s="241"/>
      <c r="B1360" s="243"/>
      <c r="C1360" s="241"/>
      <c r="D1360" s="241"/>
      <c r="E1360" s="241"/>
    </row>
    <row r="1361" spans="1:5" customFormat="1" ht="24.95" customHeight="1" x14ac:dyDescent="0.25">
      <c r="A1361" s="241"/>
      <c r="B1361" s="243"/>
      <c r="C1361" s="241"/>
      <c r="D1361" s="241"/>
      <c r="E1361" s="241"/>
    </row>
    <row r="1362" spans="1:5" customFormat="1" ht="24.95" customHeight="1" x14ac:dyDescent="0.25">
      <c r="A1362" s="241"/>
      <c r="B1362" s="243"/>
      <c r="C1362" s="241"/>
      <c r="D1362" s="241"/>
      <c r="E1362" s="241"/>
    </row>
    <row r="1363" spans="1:5" customFormat="1" ht="24.95" customHeight="1" x14ac:dyDescent="0.25">
      <c r="A1363" s="241"/>
      <c r="B1363" s="243"/>
      <c r="C1363" s="241"/>
      <c r="D1363" s="241"/>
      <c r="E1363" s="241"/>
    </row>
    <row r="1364" spans="1:5" customFormat="1" ht="24.95" customHeight="1" x14ac:dyDescent="0.25">
      <c r="A1364" s="241"/>
      <c r="B1364" s="243"/>
      <c r="C1364" s="241"/>
      <c r="D1364" s="241"/>
      <c r="E1364" s="241"/>
    </row>
    <row r="1365" spans="1:5" customFormat="1" ht="24.95" customHeight="1" x14ac:dyDescent="0.25">
      <c r="A1365" s="241"/>
      <c r="B1365" s="243"/>
      <c r="C1365" s="241"/>
      <c r="D1365" s="241"/>
      <c r="E1365" s="241"/>
    </row>
    <row r="1366" spans="1:5" customFormat="1" ht="24.95" customHeight="1" x14ac:dyDescent="0.25">
      <c r="A1366" s="241"/>
      <c r="B1366" s="243"/>
      <c r="C1366" s="241"/>
      <c r="D1366" s="241"/>
      <c r="E1366" s="241"/>
    </row>
    <row r="1367" spans="1:5" customFormat="1" ht="24.95" customHeight="1" x14ac:dyDescent="0.25">
      <c r="A1367" s="241"/>
      <c r="B1367" s="243"/>
      <c r="C1367" s="241"/>
      <c r="D1367" s="241"/>
      <c r="E1367" s="241"/>
    </row>
    <row r="1368" spans="1:5" customFormat="1" ht="24.95" customHeight="1" x14ac:dyDescent="0.25">
      <c r="A1368" s="241"/>
      <c r="B1368" s="243"/>
      <c r="C1368" s="241"/>
      <c r="D1368" s="241"/>
      <c r="E1368" s="241"/>
    </row>
    <row r="1369" spans="1:5" customFormat="1" ht="24.95" customHeight="1" x14ac:dyDescent="0.25">
      <c r="A1369" s="241"/>
      <c r="B1369" s="243"/>
      <c r="C1369" s="241"/>
      <c r="D1369" s="241"/>
      <c r="E1369" s="241"/>
    </row>
    <row r="1370" spans="1:5" customFormat="1" ht="24.95" customHeight="1" x14ac:dyDescent="0.25">
      <c r="A1370" s="241"/>
      <c r="B1370" s="243"/>
      <c r="C1370" s="241"/>
      <c r="D1370" s="241"/>
      <c r="E1370" s="241"/>
    </row>
    <row r="1371" spans="1:5" customFormat="1" ht="24.95" customHeight="1" x14ac:dyDescent="0.25">
      <c r="A1371" s="241"/>
      <c r="B1371" s="243"/>
      <c r="C1371" s="241"/>
      <c r="D1371" s="241"/>
      <c r="E1371" s="241"/>
    </row>
    <row r="1372" spans="1:5" customFormat="1" ht="24.95" customHeight="1" x14ac:dyDescent="0.25">
      <c r="A1372" s="241"/>
      <c r="B1372" s="243"/>
      <c r="C1372" s="241"/>
      <c r="D1372" s="241"/>
      <c r="E1372" s="241"/>
    </row>
    <row r="1373" spans="1:5" customFormat="1" ht="24.95" customHeight="1" x14ac:dyDescent="0.25">
      <c r="A1373" s="241"/>
      <c r="B1373" s="243"/>
      <c r="C1373" s="241"/>
      <c r="D1373" s="241"/>
      <c r="E1373" s="241"/>
    </row>
    <row r="1374" spans="1:5" customFormat="1" ht="24.95" customHeight="1" x14ac:dyDescent="0.25">
      <c r="A1374" s="241"/>
      <c r="B1374" s="243"/>
      <c r="C1374" s="241"/>
      <c r="D1374" s="241"/>
      <c r="E1374" s="241"/>
    </row>
    <row r="1375" spans="1:5" customFormat="1" ht="24.95" customHeight="1" x14ac:dyDescent="0.25">
      <c r="A1375" s="241"/>
      <c r="B1375" s="243"/>
      <c r="C1375" s="241"/>
      <c r="D1375" s="241"/>
      <c r="E1375" s="241"/>
    </row>
    <row r="1376" spans="1:5" customFormat="1" ht="24.95" customHeight="1" x14ac:dyDescent="0.25">
      <c r="A1376" s="241"/>
      <c r="B1376" s="243"/>
      <c r="C1376" s="241"/>
      <c r="D1376" s="241"/>
      <c r="E1376" s="241"/>
    </row>
    <row r="1377" spans="1:5" customFormat="1" ht="24.95" customHeight="1" x14ac:dyDescent="0.25">
      <c r="A1377" s="241"/>
      <c r="B1377" s="243"/>
      <c r="C1377" s="241"/>
      <c r="D1377" s="241"/>
      <c r="E1377" s="241"/>
    </row>
    <row r="1378" spans="1:5" customFormat="1" ht="24.95" customHeight="1" x14ac:dyDescent="0.25">
      <c r="A1378" s="241"/>
      <c r="B1378" s="243"/>
      <c r="C1378" s="241"/>
      <c r="D1378" s="241"/>
      <c r="E1378" s="241"/>
    </row>
    <row r="1379" spans="1:5" customFormat="1" ht="24.95" customHeight="1" x14ac:dyDescent="0.25">
      <c r="A1379" s="241"/>
      <c r="B1379" s="243"/>
      <c r="C1379" s="241"/>
      <c r="D1379" s="241"/>
      <c r="E1379" s="241"/>
    </row>
    <row r="1380" spans="1:5" customFormat="1" ht="24.95" customHeight="1" x14ac:dyDescent="0.25">
      <c r="A1380" s="241"/>
      <c r="B1380" s="243"/>
      <c r="C1380" s="241"/>
      <c r="D1380" s="241"/>
      <c r="E1380" s="241"/>
    </row>
    <row r="1381" spans="1:5" customFormat="1" ht="24.95" customHeight="1" x14ac:dyDescent="0.25">
      <c r="A1381" s="241"/>
      <c r="B1381" s="243"/>
      <c r="C1381" s="241"/>
      <c r="D1381" s="241"/>
      <c r="E1381" s="241"/>
    </row>
    <row r="1382" spans="1:5" customFormat="1" ht="24.95" customHeight="1" x14ac:dyDescent="0.25">
      <c r="A1382" s="241"/>
      <c r="B1382" s="243"/>
      <c r="C1382" s="241"/>
      <c r="D1382" s="241"/>
      <c r="E1382" s="241"/>
    </row>
    <row r="1383" spans="1:5" customFormat="1" ht="24.95" customHeight="1" x14ac:dyDescent="0.25">
      <c r="A1383" s="241"/>
      <c r="B1383" s="243"/>
      <c r="C1383" s="241"/>
      <c r="D1383" s="241"/>
      <c r="E1383" s="241"/>
    </row>
    <row r="1384" spans="1:5" customFormat="1" ht="24.95" customHeight="1" x14ac:dyDescent="0.25">
      <c r="A1384" s="241"/>
      <c r="B1384" s="243"/>
      <c r="C1384" s="241"/>
      <c r="D1384" s="241"/>
      <c r="E1384" s="241"/>
    </row>
    <row r="1385" spans="1:5" customFormat="1" ht="24.95" customHeight="1" x14ac:dyDescent="0.25">
      <c r="A1385" s="241"/>
      <c r="B1385" s="243"/>
      <c r="C1385" s="241"/>
      <c r="D1385" s="241"/>
      <c r="E1385" s="241"/>
    </row>
    <row r="1386" spans="1:5" customFormat="1" ht="24.95" customHeight="1" x14ac:dyDescent="0.25">
      <c r="A1386" s="241"/>
      <c r="B1386" s="243"/>
      <c r="C1386" s="241"/>
      <c r="D1386" s="241"/>
      <c r="E1386" s="241"/>
    </row>
    <row r="1387" spans="1:5" customFormat="1" ht="24.95" customHeight="1" x14ac:dyDescent="0.25">
      <c r="A1387" s="241"/>
      <c r="B1387" s="243"/>
      <c r="C1387" s="241"/>
      <c r="D1387" s="241"/>
      <c r="E1387" s="241"/>
    </row>
    <row r="1388" spans="1:5" customFormat="1" ht="24.95" customHeight="1" x14ac:dyDescent="0.25">
      <c r="A1388" s="241"/>
      <c r="B1388" s="243"/>
      <c r="C1388" s="241"/>
      <c r="D1388" s="241"/>
      <c r="E1388" s="241"/>
    </row>
    <row r="1389" spans="1:5" customFormat="1" ht="24.95" customHeight="1" x14ac:dyDescent="0.25">
      <c r="A1389" s="241"/>
      <c r="B1389" s="243"/>
      <c r="C1389" s="241"/>
      <c r="D1389" s="241"/>
      <c r="E1389" s="241"/>
    </row>
    <row r="1390" spans="1:5" customFormat="1" ht="24.95" customHeight="1" x14ac:dyDescent="0.25">
      <c r="A1390" s="241"/>
      <c r="B1390" s="243"/>
      <c r="C1390" s="241"/>
      <c r="D1390" s="241"/>
      <c r="E1390" s="241"/>
    </row>
    <row r="1391" spans="1:5" customFormat="1" ht="24.95" customHeight="1" x14ac:dyDescent="0.25">
      <c r="A1391" s="241"/>
      <c r="B1391" s="243"/>
      <c r="C1391" s="241"/>
      <c r="D1391" s="241"/>
      <c r="E1391" s="241"/>
    </row>
    <row r="1392" spans="1:5" customFormat="1" ht="24.95" customHeight="1" x14ac:dyDescent="0.25">
      <c r="A1392" s="241"/>
      <c r="B1392" s="243"/>
      <c r="C1392" s="241"/>
      <c r="D1392" s="241"/>
      <c r="E1392" s="241"/>
    </row>
    <row r="1393" spans="1:5" customFormat="1" ht="24.95" customHeight="1" x14ac:dyDescent="0.25">
      <c r="A1393" s="241"/>
      <c r="B1393" s="243"/>
      <c r="C1393" s="241"/>
      <c r="D1393" s="241"/>
      <c r="E1393" s="241"/>
    </row>
    <row r="1394" spans="1:5" customFormat="1" ht="24.95" customHeight="1" x14ac:dyDescent="0.25">
      <c r="A1394" s="241"/>
      <c r="B1394" s="243"/>
      <c r="C1394" s="241"/>
      <c r="D1394" s="241"/>
      <c r="E1394" s="241"/>
    </row>
    <row r="1395" spans="1:5" customFormat="1" ht="24.95" customHeight="1" x14ac:dyDescent="0.25">
      <c r="A1395" s="241"/>
      <c r="B1395" s="243"/>
      <c r="C1395" s="241"/>
      <c r="D1395" s="241"/>
      <c r="E1395" s="241"/>
    </row>
    <row r="1396" spans="1:5" customFormat="1" ht="24.95" customHeight="1" x14ac:dyDescent="0.25">
      <c r="A1396" s="241"/>
      <c r="B1396" s="243"/>
      <c r="C1396" s="241"/>
      <c r="D1396" s="241"/>
      <c r="E1396" s="241"/>
    </row>
    <row r="1397" spans="1:5" customFormat="1" ht="24.95" customHeight="1" x14ac:dyDescent="0.25">
      <c r="A1397" s="241"/>
      <c r="B1397" s="243"/>
      <c r="C1397" s="241"/>
      <c r="D1397" s="241"/>
      <c r="E1397" s="241"/>
    </row>
    <row r="1398" spans="1:5" customFormat="1" ht="24.95" customHeight="1" x14ac:dyDescent="0.25">
      <c r="A1398" s="241"/>
      <c r="B1398" s="243"/>
      <c r="C1398" s="241"/>
      <c r="D1398" s="241"/>
      <c r="E1398" s="241"/>
    </row>
    <row r="1399" spans="1:5" customFormat="1" ht="24.95" customHeight="1" x14ac:dyDescent="0.25">
      <c r="A1399" s="241"/>
      <c r="B1399" s="243"/>
      <c r="C1399" s="241"/>
      <c r="D1399" s="241"/>
      <c r="E1399" s="241"/>
    </row>
    <row r="1400" spans="1:5" customFormat="1" ht="24.95" customHeight="1" x14ac:dyDescent="0.25">
      <c r="A1400" s="241"/>
      <c r="B1400" s="243"/>
      <c r="C1400" s="241"/>
      <c r="D1400" s="241"/>
      <c r="E1400" s="241"/>
    </row>
    <row r="1401" spans="1:5" customFormat="1" ht="24.95" customHeight="1" x14ac:dyDescent="0.25">
      <c r="A1401" s="241"/>
      <c r="B1401" s="243"/>
      <c r="C1401" s="241"/>
      <c r="D1401" s="241"/>
      <c r="E1401" s="241"/>
    </row>
    <row r="1402" spans="1:5" customFormat="1" ht="24.95" customHeight="1" x14ac:dyDescent="0.25">
      <c r="A1402" s="241"/>
      <c r="B1402" s="243"/>
      <c r="C1402" s="241"/>
      <c r="D1402" s="241"/>
      <c r="E1402" s="241"/>
    </row>
    <row r="1403" spans="1:5" customFormat="1" ht="24.95" customHeight="1" x14ac:dyDescent="0.25">
      <c r="A1403" s="241"/>
      <c r="B1403" s="243"/>
      <c r="C1403" s="241"/>
      <c r="D1403" s="241"/>
      <c r="E1403" s="241"/>
    </row>
    <row r="1404" spans="1:5" customFormat="1" ht="24.95" customHeight="1" x14ac:dyDescent="0.25">
      <c r="A1404" s="241"/>
      <c r="B1404" s="243"/>
      <c r="C1404" s="241"/>
      <c r="D1404" s="241"/>
      <c r="E1404" s="241"/>
    </row>
    <row r="1405" spans="1:5" customFormat="1" ht="24.95" customHeight="1" x14ac:dyDescent="0.25">
      <c r="A1405" s="241"/>
      <c r="B1405" s="243"/>
      <c r="C1405" s="241"/>
      <c r="D1405" s="241"/>
      <c r="E1405" s="241"/>
    </row>
    <row r="1406" spans="1:5" customFormat="1" ht="24.95" customHeight="1" x14ac:dyDescent="0.25">
      <c r="A1406" s="241"/>
      <c r="B1406" s="243"/>
      <c r="C1406" s="241"/>
      <c r="D1406" s="241"/>
      <c r="E1406" s="241"/>
    </row>
    <row r="1407" spans="1:5" customFormat="1" ht="24.95" customHeight="1" x14ac:dyDescent="0.25">
      <c r="A1407" s="241"/>
      <c r="B1407" s="243"/>
      <c r="C1407" s="241"/>
      <c r="D1407" s="241"/>
      <c r="E1407" s="241"/>
    </row>
    <row r="1408" spans="1:5" customFormat="1" ht="24.95" customHeight="1" x14ac:dyDescent="0.25">
      <c r="A1408" s="241"/>
      <c r="B1408" s="243"/>
      <c r="C1408" s="241"/>
      <c r="D1408" s="241"/>
      <c r="E1408" s="241"/>
    </row>
    <row r="1409" spans="1:5" customFormat="1" ht="24.95" customHeight="1" x14ac:dyDescent="0.25">
      <c r="A1409" s="241"/>
      <c r="B1409" s="243"/>
      <c r="C1409" s="241"/>
      <c r="D1409" s="241"/>
      <c r="E1409" s="241"/>
    </row>
    <row r="1410" spans="1:5" customFormat="1" ht="24.95" customHeight="1" x14ac:dyDescent="0.25">
      <c r="A1410" s="241"/>
      <c r="B1410" s="243"/>
      <c r="C1410" s="241"/>
      <c r="D1410" s="241"/>
      <c r="E1410" s="241"/>
    </row>
    <row r="1411" spans="1:5" customFormat="1" ht="24.95" customHeight="1" x14ac:dyDescent="0.25">
      <c r="A1411" s="241"/>
      <c r="B1411" s="243"/>
      <c r="C1411" s="241"/>
      <c r="D1411" s="241"/>
      <c r="E1411" s="241"/>
    </row>
    <row r="1412" spans="1:5" customFormat="1" ht="24.95" customHeight="1" x14ac:dyDescent="0.25">
      <c r="A1412" s="241"/>
      <c r="B1412" s="243"/>
      <c r="C1412" s="241"/>
      <c r="D1412" s="241"/>
      <c r="E1412" s="241"/>
    </row>
    <row r="1413" spans="1:5" customFormat="1" ht="24.95" customHeight="1" x14ac:dyDescent="0.25">
      <c r="A1413" s="241"/>
      <c r="B1413" s="243"/>
      <c r="C1413" s="241"/>
      <c r="D1413" s="241"/>
      <c r="E1413" s="241"/>
    </row>
    <row r="1414" spans="1:5" customFormat="1" ht="24.95" customHeight="1" x14ac:dyDescent="0.25">
      <c r="A1414" s="241"/>
      <c r="B1414" s="243"/>
      <c r="C1414" s="241"/>
      <c r="D1414" s="241"/>
      <c r="E1414" s="241"/>
    </row>
    <row r="1415" spans="1:5" customFormat="1" ht="24.95" customHeight="1" x14ac:dyDescent="0.25">
      <c r="A1415" s="241"/>
      <c r="B1415" s="243"/>
      <c r="C1415" s="241"/>
      <c r="D1415" s="241"/>
      <c r="E1415" s="241"/>
    </row>
    <row r="1416" spans="1:5" customFormat="1" ht="24.95" customHeight="1" x14ac:dyDescent="0.25">
      <c r="A1416" s="241"/>
      <c r="B1416" s="243"/>
      <c r="C1416" s="241"/>
      <c r="D1416" s="241"/>
      <c r="E1416" s="241"/>
    </row>
    <row r="1417" spans="1:5" customFormat="1" ht="24.95" customHeight="1" x14ac:dyDescent="0.25">
      <c r="A1417" s="241"/>
      <c r="B1417" s="243"/>
      <c r="C1417" s="241"/>
      <c r="D1417" s="241"/>
      <c r="E1417" s="241"/>
    </row>
    <row r="1418" spans="1:5" customFormat="1" ht="24.95" customHeight="1" x14ac:dyDescent="0.25">
      <c r="A1418" s="241"/>
      <c r="B1418" s="243"/>
      <c r="C1418" s="241"/>
      <c r="D1418" s="241"/>
      <c r="E1418" s="241"/>
    </row>
    <row r="1419" spans="1:5" customFormat="1" ht="24.95" customHeight="1" x14ac:dyDescent="0.25">
      <c r="A1419" s="241"/>
      <c r="B1419" s="243"/>
      <c r="C1419" s="241"/>
      <c r="D1419" s="241"/>
      <c r="E1419" s="241"/>
    </row>
    <row r="1420" spans="1:5" customFormat="1" ht="24.95" customHeight="1" x14ac:dyDescent="0.25">
      <c r="A1420" s="241"/>
      <c r="B1420" s="243"/>
      <c r="C1420" s="241"/>
      <c r="D1420" s="241"/>
      <c r="E1420" s="241"/>
    </row>
    <row r="1421" spans="1:5" customFormat="1" ht="24.95" customHeight="1" x14ac:dyDescent="0.25">
      <c r="A1421" s="241"/>
      <c r="B1421" s="243"/>
      <c r="C1421" s="241"/>
      <c r="D1421" s="241"/>
      <c r="E1421" s="241"/>
    </row>
    <row r="1422" spans="1:5" customFormat="1" ht="24.95" customHeight="1" x14ac:dyDescent="0.25">
      <c r="A1422" s="241"/>
      <c r="B1422" s="243"/>
      <c r="C1422" s="241"/>
      <c r="D1422" s="241"/>
      <c r="E1422" s="241"/>
    </row>
    <row r="1423" spans="1:5" customFormat="1" ht="24.95" customHeight="1" x14ac:dyDescent="0.25">
      <c r="A1423" s="241"/>
      <c r="B1423" s="243"/>
      <c r="C1423" s="241"/>
      <c r="D1423" s="241"/>
      <c r="E1423" s="241"/>
    </row>
    <row r="1424" spans="1:5" customFormat="1" ht="24.95" customHeight="1" x14ac:dyDescent="0.25">
      <c r="A1424" s="241"/>
      <c r="B1424" s="243"/>
      <c r="C1424" s="241"/>
      <c r="D1424" s="241"/>
      <c r="E1424" s="241"/>
    </row>
    <row r="1425" spans="1:5" customFormat="1" ht="24.95" customHeight="1" x14ac:dyDescent="0.25">
      <c r="A1425" s="241"/>
      <c r="B1425" s="243"/>
      <c r="C1425" s="241"/>
      <c r="D1425" s="241"/>
      <c r="E1425" s="241"/>
    </row>
    <row r="1426" spans="1:5" customFormat="1" ht="24.95" customHeight="1" x14ac:dyDescent="0.25">
      <c r="A1426" s="241"/>
      <c r="B1426" s="243"/>
      <c r="C1426" s="241"/>
      <c r="D1426" s="241"/>
      <c r="E1426" s="241"/>
    </row>
    <row r="1427" spans="1:5" customFormat="1" ht="24.95" customHeight="1" x14ac:dyDescent="0.25">
      <c r="A1427" s="241"/>
      <c r="B1427" s="243"/>
      <c r="C1427" s="241"/>
      <c r="D1427" s="241"/>
      <c r="E1427" s="241"/>
    </row>
    <row r="1428" spans="1:5" customFormat="1" ht="24.95" customHeight="1" x14ac:dyDescent="0.25">
      <c r="A1428" s="241"/>
      <c r="B1428" s="243"/>
      <c r="C1428" s="241"/>
      <c r="D1428" s="241"/>
      <c r="E1428" s="241"/>
    </row>
    <row r="1429" spans="1:5" customFormat="1" ht="24.95" customHeight="1" x14ac:dyDescent="0.25">
      <c r="A1429" s="241"/>
      <c r="B1429" s="243"/>
      <c r="C1429" s="241"/>
      <c r="D1429" s="241"/>
      <c r="E1429" s="241"/>
    </row>
    <row r="1430" spans="1:5" customFormat="1" ht="24.95" customHeight="1" x14ac:dyDescent="0.25">
      <c r="A1430" s="241"/>
      <c r="B1430" s="243"/>
      <c r="C1430" s="241"/>
      <c r="D1430" s="241"/>
      <c r="E1430" s="241"/>
    </row>
    <row r="1431" spans="1:5" customFormat="1" ht="24.95" customHeight="1" x14ac:dyDescent="0.25">
      <c r="A1431" s="241"/>
      <c r="B1431" s="243"/>
      <c r="C1431" s="241"/>
      <c r="D1431" s="241"/>
      <c r="E1431" s="241"/>
    </row>
    <row r="1432" spans="1:5" customFormat="1" ht="24.95" customHeight="1" x14ac:dyDescent="0.25">
      <c r="A1432" s="241"/>
      <c r="B1432" s="243"/>
      <c r="C1432" s="241"/>
      <c r="D1432" s="241"/>
      <c r="E1432" s="241"/>
    </row>
    <row r="1433" spans="1:5" customFormat="1" ht="24.95" customHeight="1" x14ac:dyDescent="0.25">
      <c r="A1433" s="241"/>
      <c r="B1433" s="243"/>
      <c r="C1433" s="241"/>
      <c r="D1433" s="241"/>
      <c r="E1433" s="241"/>
    </row>
    <row r="1434" spans="1:5" customFormat="1" ht="24.95" customHeight="1" x14ac:dyDescent="0.25">
      <c r="A1434" s="241"/>
      <c r="B1434" s="243"/>
      <c r="C1434" s="241"/>
      <c r="D1434" s="241"/>
      <c r="E1434" s="241"/>
    </row>
    <row r="1435" spans="1:5" customFormat="1" ht="24.95" customHeight="1" x14ac:dyDescent="0.25">
      <c r="A1435" s="241"/>
      <c r="B1435" s="243"/>
      <c r="C1435" s="241"/>
      <c r="D1435" s="241"/>
      <c r="E1435" s="241"/>
    </row>
    <row r="1436" spans="1:5" customFormat="1" ht="24.95" customHeight="1" x14ac:dyDescent="0.25">
      <c r="A1436" s="241"/>
      <c r="B1436" s="243"/>
      <c r="C1436" s="241"/>
      <c r="D1436" s="241"/>
      <c r="E1436" s="241"/>
    </row>
    <row r="1437" spans="1:5" customFormat="1" ht="24.95" customHeight="1" x14ac:dyDescent="0.25">
      <c r="A1437" s="241"/>
      <c r="B1437" s="243"/>
      <c r="C1437" s="241"/>
      <c r="D1437" s="241"/>
      <c r="E1437" s="241"/>
    </row>
    <row r="1438" spans="1:5" customFormat="1" ht="24.95" customHeight="1" x14ac:dyDescent="0.25">
      <c r="A1438" s="241"/>
      <c r="B1438" s="243"/>
      <c r="C1438" s="241"/>
      <c r="D1438" s="241"/>
      <c r="E1438" s="241"/>
    </row>
    <row r="1439" spans="1:5" customFormat="1" ht="24.95" customHeight="1" x14ac:dyDescent="0.25">
      <c r="A1439" s="241"/>
      <c r="B1439" s="243"/>
      <c r="C1439" s="241"/>
      <c r="D1439" s="241"/>
      <c r="E1439" s="241"/>
    </row>
    <row r="1440" spans="1:5" customFormat="1" ht="24.95" customHeight="1" x14ac:dyDescent="0.25">
      <c r="A1440" s="241"/>
      <c r="B1440" s="243"/>
      <c r="C1440" s="241"/>
      <c r="D1440" s="241"/>
      <c r="E1440" s="241"/>
    </row>
    <row r="1441" spans="1:5" customFormat="1" ht="24.95" customHeight="1" x14ac:dyDescent="0.25">
      <c r="A1441" s="241"/>
      <c r="B1441" s="243"/>
      <c r="C1441" s="241"/>
      <c r="D1441" s="241"/>
      <c r="E1441" s="241"/>
    </row>
    <row r="1442" spans="1:5" customFormat="1" ht="24.95" customHeight="1" x14ac:dyDescent="0.25">
      <c r="A1442" s="241"/>
      <c r="B1442" s="243"/>
      <c r="C1442" s="241"/>
      <c r="D1442" s="241"/>
      <c r="E1442" s="241"/>
    </row>
    <row r="1443" spans="1:5" customFormat="1" ht="24.95" customHeight="1" x14ac:dyDescent="0.25">
      <c r="A1443" s="241"/>
      <c r="B1443" s="243"/>
      <c r="C1443" s="241"/>
      <c r="D1443" s="241"/>
      <c r="E1443" s="241"/>
    </row>
    <row r="1444" spans="1:5" customFormat="1" ht="24.95" customHeight="1" x14ac:dyDescent="0.25">
      <c r="A1444" s="241"/>
      <c r="B1444" s="243"/>
      <c r="C1444" s="241"/>
      <c r="D1444" s="241"/>
      <c r="E1444" s="241"/>
    </row>
    <row r="1445" spans="1:5" customFormat="1" ht="24.95" customHeight="1" x14ac:dyDescent="0.25">
      <c r="A1445" s="241"/>
      <c r="B1445" s="243"/>
      <c r="C1445" s="241"/>
      <c r="D1445" s="241"/>
      <c r="E1445" s="241"/>
    </row>
    <row r="1446" spans="1:5" customFormat="1" ht="24.95" customHeight="1" x14ac:dyDescent="0.25">
      <c r="A1446" s="241"/>
      <c r="B1446" s="243"/>
      <c r="C1446" s="241"/>
      <c r="D1446" s="241"/>
      <c r="E1446" s="241"/>
    </row>
    <row r="1447" spans="1:5" customFormat="1" ht="24.95" customHeight="1" x14ac:dyDescent="0.25">
      <c r="A1447" s="241"/>
      <c r="B1447" s="243"/>
      <c r="C1447" s="241"/>
      <c r="D1447" s="241"/>
      <c r="E1447" s="241"/>
    </row>
    <row r="1448" spans="1:5" customFormat="1" ht="24.95" customHeight="1" x14ac:dyDescent="0.25">
      <c r="A1448" s="241"/>
      <c r="B1448" s="243"/>
      <c r="C1448" s="241"/>
      <c r="D1448" s="241"/>
      <c r="E1448" s="241"/>
    </row>
    <row r="1449" spans="1:5" customFormat="1" ht="24.95" customHeight="1" x14ac:dyDescent="0.25">
      <c r="A1449" s="241"/>
      <c r="B1449" s="243"/>
      <c r="C1449" s="241"/>
      <c r="D1449" s="241"/>
      <c r="E1449" s="241"/>
    </row>
    <row r="1450" spans="1:5" customFormat="1" ht="24.95" customHeight="1" x14ac:dyDescent="0.25">
      <c r="A1450" s="241"/>
      <c r="B1450" s="243"/>
      <c r="C1450" s="241"/>
      <c r="D1450" s="241"/>
      <c r="E1450" s="241"/>
    </row>
    <row r="1451" spans="1:5" customFormat="1" ht="24.95" customHeight="1" x14ac:dyDescent="0.25">
      <c r="A1451" s="241"/>
      <c r="B1451" s="243"/>
      <c r="C1451" s="241"/>
      <c r="D1451" s="241"/>
      <c r="E1451" s="241"/>
    </row>
    <row r="1452" spans="1:5" customFormat="1" ht="24.95" customHeight="1" x14ac:dyDescent="0.25">
      <c r="A1452" s="241"/>
      <c r="B1452" s="243"/>
      <c r="C1452" s="241"/>
      <c r="D1452" s="241"/>
      <c r="E1452" s="241"/>
    </row>
    <row r="1453" spans="1:5" customFormat="1" ht="24.95" customHeight="1" x14ac:dyDescent="0.25">
      <c r="A1453" s="241"/>
      <c r="B1453" s="243"/>
      <c r="C1453" s="241"/>
      <c r="D1453" s="241"/>
      <c r="E1453" s="241"/>
    </row>
    <row r="1454" spans="1:5" customFormat="1" ht="24.95" customHeight="1" x14ac:dyDescent="0.25">
      <c r="A1454" s="241"/>
      <c r="B1454" s="243"/>
      <c r="C1454" s="241"/>
      <c r="D1454" s="241"/>
      <c r="E1454" s="241"/>
    </row>
    <row r="1455" spans="1:5" customFormat="1" ht="24.95" customHeight="1" x14ac:dyDescent="0.25">
      <c r="A1455" s="241"/>
      <c r="B1455" s="243"/>
      <c r="C1455" s="241"/>
      <c r="D1455" s="241"/>
      <c r="E1455" s="241"/>
    </row>
    <row r="1456" spans="1:5" customFormat="1" ht="24.95" customHeight="1" x14ac:dyDescent="0.25">
      <c r="A1456" s="241"/>
      <c r="B1456" s="243"/>
      <c r="C1456" s="241"/>
      <c r="D1456" s="241"/>
      <c r="E1456" s="241"/>
    </row>
    <row r="1457" spans="1:5" customFormat="1" ht="24.95" customHeight="1" x14ac:dyDescent="0.25">
      <c r="A1457" s="241"/>
      <c r="B1457" s="243"/>
      <c r="C1457" s="241"/>
      <c r="D1457" s="241"/>
      <c r="E1457" s="241"/>
    </row>
    <row r="1458" spans="1:5" customFormat="1" ht="24.95" customHeight="1" x14ac:dyDescent="0.25">
      <c r="A1458" s="241"/>
      <c r="B1458" s="243"/>
      <c r="C1458" s="241"/>
      <c r="D1458" s="241"/>
      <c r="E1458" s="241"/>
    </row>
    <row r="1459" spans="1:5" customFormat="1" ht="24.95" customHeight="1" x14ac:dyDescent="0.25">
      <c r="A1459" s="241"/>
      <c r="B1459" s="243"/>
      <c r="C1459" s="241"/>
      <c r="D1459" s="241"/>
      <c r="E1459" s="241"/>
    </row>
    <row r="1460" spans="1:5" customFormat="1" ht="24.95" customHeight="1" x14ac:dyDescent="0.25">
      <c r="A1460" s="241"/>
      <c r="B1460" s="243"/>
      <c r="C1460" s="241"/>
      <c r="D1460" s="241"/>
      <c r="E1460" s="241"/>
    </row>
    <row r="1461" spans="1:5" customFormat="1" ht="24.95" customHeight="1" x14ac:dyDescent="0.25">
      <c r="A1461" s="241"/>
      <c r="B1461" s="243"/>
      <c r="C1461" s="241"/>
      <c r="D1461" s="241"/>
      <c r="E1461" s="241"/>
    </row>
    <row r="1462" spans="1:5" customFormat="1" ht="24.95" customHeight="1" x14ac:dyDescent="0.25">
      <c r="A1462" s="241"/>
      <c r="B1462" s="243"/>
      <c r="C1462" s="241"/>
      <c r="D1462" s="241"/>
      <c r="E1462" s="241"/>
    </row>
    <row r="1463" spans="1:5" customFormat="1" ht="24.95" customHeight="1" x14ac:dyDescent="0.25">
      <c r="A1463" s="241"/>
      <c r="B1463" s="243"/>
      <c r="C1463" s="241"/>
      <c r="D1463" s="241"/>
      <c r="E1463" s="241"/>
    </row>
    <row r="1464" spans="1:5" customFormat="1" ht="24.95" customHeight="1" x14ac:dyDescent="0.25">
      <c r="A1464" s="241"/>
      <c r="B1464" s="243"/>
      <c r="C1464" s="241"/>
      <c r="D1464" s="241"/>
      <c r="E1464" s="241"/>
    </row>
    <row r="1465" spans="1:5" customFormat="1" ht="24.95" customHeight="1" x14ac:dyDescent="0.25">
      <c r="A1465" s="241"/>
      <c r="B1465" s="243"/>
      <c r="C1465" s="241"/>
      <c r="D1465" s="241"/>
      <c r="E1465" s="241"/>
    </row>
    <row r="1466" spans="1:5" customFormat="1" ht="24.95" customHeight="1" x14ac:dyDescent="0.25">
      <c r="A1466" s="241"/>
      <c r="B1466" s="243"/>
      <c r="C1466" s="241"/>
      <c r="D1466" s="241"/>
      <c r="E1466" s="241"/>
    </row>
    <row r="1467" spans="1:5" customFormat="1" ht="24.95" customHeight="1" x14ac:dyDescent="0.25">
      <c r="A1467" s="241"/>
      <c r="B1467" s="243"/>
      <c r="C1467" s="241"/>
      <c r="D1467" s="241"/>
      <c r="E1467" s="241"/>
    </row>
    <row r="1468" spans="1:5" customFormat="1" ht="24.95" customHeight="1" x14ac:dyDescent="0.25">
      <c r="A1468" s="241"/>
      <c r="B1468" s="243"/>
      <c r="C1468" s="241"/>
      <c r="D1468" s="241"/>
      <c r="E1468" s="241"/>
    </row>
    <row r="1469" spans="1:5" customFormat="1" ht="24.95" customHeight="1" x14ac:dyDescent="0.25">
      <c r="A1469" s="241"/>
      <c r="B1469" s="243"/>
      <c r="C1469" s="241"/>
      <c r="D1469" s="241"/>
      <c r="E1469" s="241"/>
    </row>
    <row r="1470" spans="1:5" customFormat="1" ht="24.95" customHeight="1" x14ac:dyDescent="0.25">
      <c r="A1470" s="241"/>
      <c r="B1470" s="243"/>
      <c r="C1470" s="241"/>
      <c r="D1470" s="241"/>
      <c r="E1470" s="241"/>
    </row>
    <row r="1471" spans="1:5" customFormat="1" ht="24.95" customHeight="1" x14ac:dyDescent="0.25">
      <c r="A1471" s="241"/>
      <c r="B1471" s="243"/>
      <c r="C1471" s="241"/>
      <c r="D1471" s="241"/>
      <c r="E1471" s="241"/>
    </row>
    <row r="1472" spans="1:5" customFormat="1" ht="24.95" customHeight="1" x14ac:dyDescent="0.25">
      <c r="A1472" s="241"/>
      <c r="B1472" s="243"/>
      <c r="C1472" s="241"/>
      <c r="D1472" s="241"/>
      <c r="E1472" s="241"/>
    </row>
    <row r="1473" spans="1:5" customFormat="1" ht="24.95" customHeight="1" x14ac:dyDescent="0.25">
      <c r="A1473" s="241"/>
      <c r="B1473" s="243"/>
      <c r="C1473" s="241"/>
      <c r="D1473" s="241"/>
      <c r="E1473" s="241"/>
    </row>
    <row r="1474" spans="1:5" customFormat="1" ht="24.95" customHeight="1" x14ac:dyDescent="0.25">
      <c r="A1474" s="241"/>
      <c r="B1474" s="243"/>
      <c r="C1474" s="241"/>
      <c r="D1474" s="241"/>
      <c r="E1474" s="241"/>
    </row>
    <row r="1475" spans="1:5" customFormat="1" ht="24.95" customHeight="1" x14ac:dyDescent="0.25">
      <c r="A1475" s="241"/>
      <c r="B1475" s="243"/>
      <c r="C1475" s="241"/>
      <c r="D1475" s="241"/>
      <c r="E1475" s="241"/>
    </row>
    <row r="1476" spans="1:5" customFormat="1" ht="24.95" customHeight="1" x14ac:dyDescent="0.25">
      <c r="A1476" s="241"/>
      <c r="B1476" s="243"/>
      <c r="C1476" s="241"/>
      <c r="D1476" s="241"/>
      <c r="E1476" s="241"/>
    </row>
    <row r="1477" spans="1:5" customFormat="1" ht="24.95" customHeight="1" x14ac:dyDescent="0.25">
      <c r="A1477" s="241"/>
      <c r="B1477" s="243"/>
      <c r="C1477" s="241"/>
      <c r="D1477" s="241"/>
      <c r="E1477" s="241"/>
    </row>
    <row r="1478" spans="1:5" customFormat="1" ht="24.95" customHeight="1" x14ac:dyDescent="0.25">
      <c r="A1478" s="241"/>
      <c r="B1478" s="243"/>
      <c r="C1478" s="241"/>
      <c r="D1478" s="241"/>
      <c r="E1478" s="241"/>
    </row>
    <row r="1479" spans="1:5" customFormat="1" ht="24.95" customHeight="1" x14ac:dyDescent="0.25">
      <c r="A1479" s="241"/>
      <c r="B1479" s="243"/>
      <c r="C1479" s="241"/>
      <c r="D1479" s="241"/>
      <c r="E1479" s="241"/>
    </row>
    <row r="1480" spans="1:5" customFormat="1" ht="24.95" customHeight="1" x14ac:dyDescent="0.25">
      <c r="A1480" s="241"/>
      <c r="B1480" s="243"/>
      <c r="C1480" s="241"/>
      <c r="D1480" s="241"/>
      <c r="E1480" s="241"/>
    </row>
    <row r="1481" spans="1:5" customFormat="1" ht="24.95" customHeight="1" x14ac:dyDescent="0.25">
      <c r="A1481" s="241"/>
      <c r="B1481" s="243"/>
      <c r="C1481" s="241"/>
      <c r="D1481" s="241"/>
      <c r="E1481" s="241"/>
    </row>
    <row r="1482" spans="1:5" customFormat="1" ht="24.95" customHeight="1" x14ac:dyDescent="0.25">
      <c r="A1482" s="241"/>
      <c r="B1482" s="243"/>
      <c r="C1482" s="241"/>
      <c r="D1482" s="241"/>
      <c r="E1482" s="241"/>
    </row>
    <row r="1483" spans="1:5" customFormat="1" ht="24.95" customHeight="1" x14ac:dyDescent="0.25">
      <c r="A1483" s="241"/>
      <c r="B1483" s="243"/>
      <c r="C1483" s="241"/>
      <c r="D1483" s="241"/>
      <c r="E1483" s="241"/>
    </row>
    <row r="1484" spans="1:5" customFormat="1" ht="24.95" customHeight="1" x14ac:dyDescent="0.25">
      <c r="A1484" s="241"/>
      <c r="B1484" s="243"/>
      <c r="C1484" s="241"/>
      <c r="D1484" s="241"/>
      <c r="E1484" s="241"/>
    </row>
    <row r="1485" spans="1:5" customFormat="1" ht="24.95" customHeight="1" x14ac:dyDescent="0.25">
      <c r="A1485" s="241"/>
      <c r="B1485" s="243"/>
      <c r="C1485" s="241"/>
      <c r="D1485" s="241"/>
      <c r="E1485" s="241"/>
    </row>
    <row r="1486" spans="1:5" customFormat="1" ht="24.95" customHeight="1" x14ac:dyDescent="0.25">
      <c r="A1486" s="241"/>
      <c r="B1486" s="243"/>
      <c r="C1486" s="241"/>
      <c r="D1486" s="241"/>
      <c r="E1486" s="241"/>
    </row>
    <row r="1487" spans="1:5" customFormat="1" ht="24.95" customHeight="1" x14ac:dyDescent="0.25">
      <c r="A1487" s="241"/>
      <c r="B1487" s="243"/>
      <c r="C1487" s="241"/>
      <c r="D1487" s="241"/>
      <c r="E1487" s="241"/>
    </row>
    <row r="1488" spans="1:5" customFormat="1" ht="24.95" customHeight="1" x14ac:dyDescent="0.25">
      <c r="A1488" s="241"/>
      <c r="B1488" s="243"/>
      <c r="C1488" s="241"/>
      <c r="D1488" s="241"/>
      <c r="E1488" s="241"/>
    </row>
    <row r="1489" spans="1:5" customFormat="1" ht="24.95" customHeight="1" x14ac:dyDescent="0.25">
      <c r="A1489" s="241"/>
      <c r="B1489" s="243"/>
      <c r="C1489" s="241"/>
      <c r="D1489" s="241"/>
      <c r="E1489" s="241"/>
    </row>
    <row r="1490" spans="1:5" customFormat="1" ht="24.95" customHeight="1" x14ac:dyDescent="0.25">
      <c r="A1490" s="241"/>
      <c r="B1490" s="243"/>
      <c r="C1490" s="241"/>
      <c r="D1490" s="241"/>
      <c r="E1490" s="241"/>
    </row>
    <row r="1491" spans="1:5" customFormat="1" ht="24.95" customHeight="1" x14ac:dyDescent="0.25">
      <c r="A1491" s="241"/>
      <c r="B1491" s="243"/>
      <c r="C1491" s="241"/>
      <c r="D1491" s="241"/>
      <c r="E1491" s="241"/>
    </row>
    <row r="1492" spans="1:5" customFormat="1" ht="24.95" customHeight="1" x14ac:dyDescent="0.25">
      <c r="A1492" s="241"/>
      <c r="B1492" s="243"/>
      <c r="C1492" s="241"/>
      <c r="D1492" s="241"/>
      <c r="E1492" s="241"/>
    </row>
    <row r="1493" spans="1:5" customFormat="1" ht="24.95" customHeight="1" x14ac:dyDescent="0.25">
      <c r="A1493" s="241"/>
      <c r="B1493" s="243"/>
      <c r="C1493" s="241"/>
      <c r="D1493" s="241"/>
      <c r="E1493" s="241"/>
    </row>
    <row r="1494" spans="1:5" customFormat="1" ht="24.95" customHeight="1" x14ac:dyDescent="0.25">
      <c r="A1494" s="241"/>
      <c r="B1494" s="243"/>
      <c r="C1494" s="241"/>
      <c r="D1494" s="241"/>
      <c r="E1494" s="241"/>
    </row>
    <row r="1495" spans="1:5" customFormat="1" ht="24.95" customHeight="1" x14ac:dyDescent="0.25">
      <c r="A1495" s="241"/>
      <c r="B1495" s="243"/>
      <c r="C1495" s="241"/>
      <c r="D1495" s="241"/>
      <c r="E1495" s="241"/>
    </row>
    <row r="1496" spans="1:5" customFormat="1" ht="24.95" customHeight="1" x14ac:dyDescent="0.25">
      <c r="A1496" s="241"/>
      <c r="B1496" s="243"/>
      <c r="C1496" s="241"/>
      <c r="D1496" s="241"/>
      <c r="E1496" s="241"/>
    </row>
    <row r="1497" spans="1:5" customFormat="1" ht="24.95" customHeight="1" x14ac:dyDescent="0.25">
      <c r="A1497" s="241"/>
      <c r="B1497" s="243"/>
      <c r="C1497" s="241"/>
      <c r="D1497" s="241"/>
      <c r="E1497" s="241"/>
    </row>
    <row r="1498" spans="1:5" customFormat="1" ht="24.95" customHeight="1" x14ac:dyDescent="0.25">
      <c r="A1498" s="241"/>
      <c r="B1498" s="243"/>
      <c r="C1498" s="241"/>
      <c r="D1498" s="241"/>
      <c r="E1498" s="241"/>
    </row>
    <row r="1499" spans="1:5" customFormat="1" ht="24.95" customHeight="1" x14ac:dyDescent="0.25">
      <c r="A1499" s="241"/>
      <c r="B1499" s="243"/>
      <c r="C1499" s="241"/>
      <c r="D1499" s="241"/>
      <c r="E1499" s="241"/>
    </row>
    <row r="1500" spans="1:5" customFormat="1" ht="24.95" customHeight="1" x14ac:dyDescent="0.25">
      <c r="A1500" s="241"/>
      <c r="B1500" s="243"/>
      <c r="C1500" s="241"/>
      <c r="D1500" s="241"/>
      <c r="E1500" s="241"/>
    </row>
    <row r="1501" spans="1:5" customFormat="1" ht="24.95" customHeight="1" x14ac:dyDescent="0.25">
      <c r="A1501" s="241"/>
      <c r="B1501" s="243"/>
      <c r="C1501" s="241"/>
      <c r="D1501" s="241"/>
      <c r="E1501" s="241"/>
    </row>
    <row r="1502" spans="1:5" customFormat="1" ht="24.95" customHeight="1" x14ac:dyDescent="0.25">
      <c r="A1502" s="241"/>
      <c r="B1502" s="243"/>
      <c r="C1502" s="241"/>
      <c r="D1502" s="241"/>
      <c r="E1502" s="241"/>
    </row>
    <row r="1503" spans="1:5" customFormat="1" ht="24.95" customHeight="1" x14ac:dyDescent="0.25">
      <c r="A1503" s="241"/>
      <c r="B1503" s="243"/>
      <c r="C1503" s="241"/>
      <c r="D1503" s="241"/>
      <c r="E1503" s="241"/>
    </row>
    <row r="1504" spans="1:5" customFormat="1" ht="24.95" customHeight="1" x14ac:dyDescent="0.25">
      <c r="A1504" s="241"/>
      <c r="B1504" s="243"/>
      <c r="C1504" s="241"/>
      <c r="D1504" s="241"/>
      <c r="E1504" s="241"/>
    </row>
    <row r="1505" spans="1:5" customFormat="1" ht="24.95" customHeight="1" x14ac:dyDescent="0.25">
      <c r="A1505" s="241"/>
      <c r="B1505" s="243"/>
      <c r="C1505" s="241"/>
      <c r="D1505" s="241"/>
      <c r="E1505" s="241"/>
    </row>
    <row r="1506" spans="1:5" customFormat="1" ht="24.95" customHeight="1" x14ac:dyDescent="0.25">
      <c r="A1506" s="241"/>
      <c r="B1506" s="243"/>
      <c r="C1506" s="241"/>
      <c r="D1506" s="241"/>
      <c r="E1506" s="241"/>
    </row>
    <row r="1507" spans="1:5" customFormat="1" ht="24.95" customHeight="1" x14ac:dyDescent="0.25">
      <c r="A1507" s="241"/>
      <c r="B1507" s="243"/>
      <c r="C1507" s="241"/>
      <c r="D1507" s="241"/>
      <c r="E1507" s="241"/>
    </row>
    <row r="1508" spans="1:5" customFormat="1" ht="24.95" customHeight="1" x14ac:dyDescent="0.25">
      <c r="A1508" s="241"/>
      <c r="B1508" s="243"/>
      <c r="C1508" s="241"/>
      <c r="D1508" s="241"/>
      <c r="E1508" s="241"/>
    </row>
    <row r="1509" spans="1:5" customFormat="1" ht="24.95" customHeight="1" x14ac:dyDescent="0.25">
      <c r="A1509" s="241"/>
      <c r="B1509" s="243"/>
      <c r="C1509" s="241"/>
      <c r="D1509" s="241"/>
      <c r="E1509" s="241"/>
    </row>
    <row r="1510" spans="1:5" customFormat="1" ht="24.95" customHeight="1" x14ac:dyDescent="0.25">
      <c r="A1510" s="241"/>
      <c r="B1510" s="243"/>
      <c r="C1510" s="241"/>
      <c r="D1510" s="241"/>
      <c r="E1510" s="241"/>
    </row>
    <row r="1511" spans="1:5" customFormat="1" ht="24.95" customHeight="1" x14ac:dyDescent="0.25">
      <c r="A1511" s="241"/>
      <c r="B1511" s="243"/>
      <c r="C1511" s="241"/>
      <c r="D1511" s="241"/>
      <c r="E1511" s="241"/>
    </row>
    <row r="1512" spans="1:5" customFormat="1" ht="24.95" customHeight="1" x14ac:dyDescent="0.25">
      <c r="A1512" s="241"/>
      <c r="B1512" s="243"/>
      <c r="C1512" s="241"/>
      <c r="D1512" s="241"/>
      <c r="E1512" s="241"/>
    </row>
    <row r="1513" spans="1:5" customFormat="1" ht="24.95" customHeight="1" x14ac:dyDescent="0.25">
      <c r="A1513" s="241"/>
      <c r="B1513" s="243"/>
      <c r="C1513" s="241"/>
      <c r="D1513" s="241"/>
      <c r="E1513" s="241"/>
    </row>
    <row r="1514" spans="1:5" customFormat="1" ht="24.95" customHeight="1" x14ac:dyDescent="0.25">
      <c r="A1514" s="241"/>
      <c r="B1514" s="243"/>
      <c r="C1514" s="241"/>
      <c r="D1514" s="241"/>
      <c r="E1514" s="241"/>
    </row>
    <row r="1515" spans="1:5" customFormat="1" ht="24.95" customHeight="1" x14ac:dyDescent="0.25">
      <c r="A1515" s="241"/>
      <c r="B1515" s="243"/>
      <c r="C1515" s="241"/>
      <c r="D1515" s="241"/>
      <c r="E1515" s="241"/>
    </row>
    <row r="1516" spans="1:5" customFormat="1" ht="24.95" customHeight="1" x14ac:dyDescent="0.25">
      <c r="A1516" s="241"/>
      <c r="B1516" s="243"/>
      <c r="C1516" s="241"/>
      <c r="D1516" s="241"/>
      <c r="E1516" s="241"/>
    </row>
    <row r="1517" spans="1:5" customFormat="1" ht="24.95" customHeight="1" x14ac:dyDescent="0.25">
      <c r="A1517" s="241"/>
      <c r="B1517" s="243"/>
      <c r="C1517" s="241"/>
      <c r="D1517" s="241"/>
      <c r="E1517" s="241"/>
    </row>
    <row r="1518" spans="1:5" customFormat="1" ht="24.95" customHeight="1" x14ac:dyDescent="0.25">
      <c r="A1518" s="241"/>
      <c r="B1518" s="243"/>
      <c r="C1518" s="241"/>
      <c r="D1518" s="241"/>
      <c r="E1518" s="241"/>
    </row>
    <row r="1519" spans="1:5" customFormat="1" ht="24.95" customHeight="1" x14ac:dyDescent="0.25">
      <c r="A1519" s="241"/>
      <c r="B1519" s="243"/>
      <c r="C1519" s="241"/>
      <c r="D1519" s="241"/>
      <c r="E1519" s="241"/>
    </row>
    <row r="1520" spans="1:5" customFormat="1" ht="24.95" customHeight="1" x14ac:dyDescent="0.25">
      <c r="A1520" s="241"/>
      <c r="B1520" s="243"/>
      <c r="C1520" s="241"/>
      <c r="D1520" s="241"/>
      <c r="E1520" s="241"/>
    </row>
    <row r="1521" spans="1:5" customFormat="1" ht="24.95" customHeight="1" x14ac:dyDescent="0.25">
      <c r="A1521" s="241"/>
      <c r="B1521" s="243"/>
      <c r="C1521" s="241"/>
      <c r="D1521" s="241"/>
      <c r="E1521" s="241"/>
    </row>
    <row r="1522" spans="1:5" customFormat="1" ht="24.95" customHeight="1" x14ac:dyDescent="0.25">
      <c r="A1522" s="241"/>
      <c r="B1522" s="243"/>
      <c r="C1522" s="241"/>
      <c r="D1522" s="241"/>
      <c r="E1522" s="241"/>
    </row>
    <row r="1523" spans="1:5" customFormat="1" ht="24.95" customHeight="1" x14ac:dyDescent="0.25">
      <c r="A1523" s="241"/>
      <c r="B1523" s="243"/>
      <c r="C1523" s="241"/>
      <c r="D1523" s="241"/>
      <c r="E1523" s="241"/>
    </row>
    <row r="1524" spans="1:5" customFormat="1" ht="24.95" customHeight="1" x14ac:dyDescent="0.25">
      <c r="A1524" s="241"/>
      <c r="B1524" s="243"/>
      <c r="C1524" s="241"/>
      <c r="D1524" s="241"/>
      <c r="E1524" s="241"/>
    </row>
    <row r="1525" spans="1:5" customFormat="1" ht="24.95" customHeight="1" x14ac:dyDescent="0.25">
      <c r="A1525" s="241"/>
      <c r="B1525" s="243"/>
      <c r="C1525" s="241"/>
      <c r="D1525" s="241"/>
      <c r="E1525" s="241"/>
    </row>
    <row r="1526" spans="1:5" customFormat="1" ht="24.95" customHeight="1" x14ac:dyDescent="0.25">
      <c r="A1526" s="241"/>
      <c r="B1526" s="243"/>
      <c r="C1526" s="241"/>
      <c r="D1526" s="241"/>
      <c r="E1526" s="241"/>
    </row>
    <row r="1527" spans="1:5" customFormat="1" ht="24.95" customHeight="1" x14ac:dyDescent="0.25">
      <c r="A1527" s="241"/>
      <c r="B1527" s="243"/>
      <c r="C1527" s="241"/>
      <c r="D1527" s="241"/>
      <c r="E1527" s="241"/>
    </row>
    <row r="1528" spans="1:5" customFormat="1" ht="24.95" customHeight="1" x14ac:dyDescent="0.25">
      <c r="A1528" s="241"/>
      <c r="B1528" s="243"/>
      <c r="C1528" s="241"/>
      <c r="D1528" s="241"/>
      <c r="E1528" s="241"/>
    </row>
    <row r="1529" spans="1:5" customFormat="1" ht="24.95" customHeight="1" x14ac:dyDescent="0.25">
      <c r="A1529" s="241"/>
      <c r="B1529" s="243"/>
      <c r="C1529" s="241"/>
      <c r="D1529" s="241"/>
      <c r="E1529" s="241"/>
    </row>
    <row r="1530" spans="1:5" customFormat="1" ht="24.95" customHeight="1" x14ac:dyDescent="0.25">
      <c r="A1530" s="241"/>
      <c r="B1530" s="243"/>
      <c r="C1530" s="241"/>
      <c r="D1530" s="241"/>
      <c r="E1530" s="241"/>
    </row>
    <row r="1531" spans="1:5" customFormat="1" ht="24.95" customHeight="1" x14ac:dyDescent="0.25">
      <c r="A1531" s="241"/>
      <c r="B1531" s="243"/>
      <c r="C1531" s="241"/>
      <c r="D1531" s="241"/>
      <c r="E1531" s="241"/>
    </row>
    <row r="1532" spans="1:5" customFormat="1" ht="24.95" customHeight="1" x14ac:dyDescent="0.25">
      <c r="A1532" s="241"/>
      <c r="B1532" s="243"/>
      <c r="C1532" s="241"/>
      <c r="D1532" s="241"/>
      <c r="E1532" s="241"/>
    </row>
    <row r="1533" spans="1:5" customFormat="1" ht="24.95" customHeight="1" x14ac:dyDescent="0.25">
      <c r="A1533" s="241"/>
      <c r="B1533" s="243"/>
      <c r="C1533" s="241"/>
      <c r="D1533" s="241"/>
      <c r="E1533" s="241"/>
    </row>
    <row r="1534" spans="1:5" customFormat="1" ht="24.95" customHeight="1" x14ac:dyDescent="0.25">
      <c r="A1534" s="241"/>
      <c r="B1534" s="243"/>
      <c r="C1534" s="241"/>
      <c r="D1534" s="241"/>
      <c r="E1534" s="241"/>
    </row>
    <row r="1535" spans="1:5" customFormat="1" ht="24.95" customHeight="1" x14ac:dyDescent="0.25">
      <c r="A1535" s="241"/>
      <c r="B1535" s="243"/>
      <c r="C1535" s="241"/>
      <c r="D1535" s="241"/>
      <c r="E1535" s="241"/>
    </row>
    <row r="1536" spans="1:5" customFormat="1" ht="24.95" customHeight="1" x14ac:dyDescent="0.25">
      <c r="A1536" s="241"/>
      <c r="B1536" s="243"/>
      <c r="C1536" s="241"/>
      <c r="D1536" s="241"/>
      <c r="E1536" s="241"/>
    </row>
    <row r="1537" spans="1:5" customFormat="1" ht="24.95" customHeight="1" x14ac:dyDescent="0.25">
      <c r="A1537" s="241"/>
      <c r="B1537" s="243"/>
      <c r="C1537" s="241"/>
      <c r="D1537" s="241"/>
      <c r="E1537" s="241"/>
    </row>
    <row r="1538" spans="1:5" customFormat="1" ht="24.95" customHeight="1" x14ac:dyDescent="0.25">
      <c r="A1538" s="241"/>
      <c r="B1538" s="243"/>
      <c r="C1538" s="241"/>
      <c r="D1538" s="241"/>
      <c r="E1538" s="241"/>
    </row>
    <row r="1539" spans="1:5" customFormat="1" ht="24.95" customHeight="1" x14ac:dyDescent="0.25">
      <c r="A1539" s="241"/>
      <c r="B1539" s="243"/>
      <c r="C1539" s="241"/>
      <c r="D1539" s="241"/>
      <c r="E1539" s="241"/>
    </row>
    <row r="1540" spans="1:5" customFormat="1" ht="24.95" customHeight="1" x14ac:dyDescent="0.25">
      <c r="A1540" s="241"/>
      <c r="B1540" s="243"/>
      <c r="C1540" s="241"/>
      <c r="D1540" s="241"/>
      <c r="E1540" s="241"/>
    </row>
    <row r="1541" spans="1:5" customFormat="1" ht="24.95" customHeight="1" x14ac:dyDescent="0.25">
      <c r="A1541" s="241"/>
      <c r="B1541" s="243"/>
      <c r="C1541" s="241"/>
      <c r="D1541" s="241"/>
      <c r="E1541" s="241"/>
    </row>
    <row r="1542" spans="1:5" customFormat="1" ht="24.95" customHeight="1" x14ac:dyDescent="0.25">
      <c r="A1542" s="241"/>
      <c r="B1542" s="243"/>
      <c r="C1542" s="241"/>
      <c r="D1542" s="241"/>
      <c r="E1542" s="241"/>
    </row>
    <row r="1543" spans="1:5" customFormat="1" ht="24.95" customHeight="1" x14ac:dyDescent="0.25">
      <c r="A1543" s="241"/>
      <c r="B1543" s="243"/>
      <c r="C1543" s="241"/>
      <c r="D1543" s="241"/>
      <c r="E1543" s="241"/>
    </row>
    <row r="1544" spans="1:5" customFormat="1" ht="24.95" customHeight="1" x14ac:dyDescent="0.25">
      <c r="A1544" s="241"/>
      <c r="B1544" s="243"/>
      <c r="C1544" s="241"/>
      <c r="D1544" s="241"/>
      <c r="E1544" s="241"/>
    </row>
    <row r="1545" spans="1:5" customFormat="1" ht="24.95" customHeight="1" x14ac:dyDescent="0.25">
      <c r="A1545" s="241"/>
      <c r="B1545" s="243"/>
      <c r="C1545" s="241"/>
      <c r="D1545" s="241"/>
      <c r="E1545" s="241"/>
    </row>
    <row r="1546" spans="1:5" customFormat="1" ht="24.95" customHeight="1" x14ac:dyDescent="0.25">
      <c r="A1546" s="241"/>
      <c r="B1546" s="243"/>
      <c r="C1546" s="241"/>
      <c r="D1546" s="241"/>
      <c r="E1546" s="241"/>
    </row>
    <row r="1547" spans="1:5" customFormat="1" ht="24.95" customHeight="1" x14ac:dyDescent="0.25">
      <c r="A1547" s="241"/>
      <c r="B1547" s="243"/>
      <c r="C1547" s="241"/>
      <c r="D1547" s="241"/>
      <c r="E1547" s="241"/>
    </row>
    <row r="1548" spans="1:5" customFormat="1" ht="24.95" customHeight="1" x14ac:dyDescent="0.25">
      <c r="A1548" s="241"/>
      <c r="B1548" s="243"/>
      <c r="C1548" s="241"/>
      <c r="D1548" s="241"/>
      <c r="E1548" s="241"/>
    </row>
    <row r="1549" spans="1:5" customFormat="1" ht="24.95" customHeight="1" x14ac:dyDescent="0.25">
      <c r="A1549" s="241"/>
      <c r="B1549" s="243"/>
      <c r="C1549" s="241"/>
      <c r="D1549" s="241"/>
      <c r="E1549" s="241"/>
    </row>
    <row r="1550" spans="1:5" customFormat="1" ht="24.95" customHeight="1" x14ac:dyDescent="0.25">
      <c r="A1550" s="241"/>
      <c r="B1550" s="243"/>
      <c r="C1550" s="241"/>
      <c r="D1550" s="241"/>
      <c r="E1550" s="241"/>
    </row>
    <row r="1551" spans="1:5" customFormat="1" ht="24.95" customHeight="1" x14ac:dyDescent="0.25">
      <c r="A1551" s="241"/>
      <c r="B1551" s="243"/>
      <c r="C1551" s="241"/>
      <c r="D1551" s="241"/>
      <c r="E1551" s="241"/>
    </row>
    <row r="1552" spans="1:5" customFormat="1" ht="24.95" customHeight="1" x14ac:dyDescent="0.25">
      <c r="A1552" s="241"/>
      <c r="B1552" s="243"/>
      <c r="C1552" s="241"/>
      <c r="D1552" s="241"/>
      <c r="E1552" s="241"/>
    </row>
    <row r="1553" spans="1:5" customFormat="1" ht="24.95" customHeight="1" x14ac:dyDescent="0.25">
      <c r="A1553" s="241"/>
      <c r="B1553" s="243"/>
      <c r="C1553" s="241"/>
      <c r="D1553" s="241"/>
      <c r="E1553" s="241"/>
    </row>
    <row r="1554" spans="1:5" customFormat="1" ht="24.95" customHeight="1" x14ac:dyDescent="0.25">
      <c r="A1554" s="241"/>
      <c r="B1554" s="243"/>
      <c r="C1554" s="241"/>
      <c r="D1554" s="241"/>
      <c r="E1554" s="241"/>
    </row>
    <row r="1555" spans="1:5" customFormat="1" ht="24.95" customHeight="1" x14ac:dyDescent="0.25">
      <c r="A1555" s="241"/>
      <c r="B1555" s="243"/>
      <c r="C1555" s="241"/>
      <c r="D1555" s="241"/>
      <c r="E1555" s="241"/>
    </row>
    <row r="1556" spans="1:5" customFormat="1" ht="24.95" customHeight="1" x14ac:dyDescent="0.25">
      <c r="A1556" s="241"/>
      <c r="B1556" s="243"/>
      <c r="C1556" s="241"/>
      <c r="D1556" s="241"/>
      <c r="E1556" s="241"/>
    </row>
    <row r="1557" spans="1:5" customFormat="1" ht="24.95" customHeight="1" x14ac:dyDescent="0.25">
      <c r="A1557" s="241"/>
      <c r="B1557" s="243"/>
      <c r="C1557" s="241"/>
      <c r="D1557" s="241"/>
      <c r="E1557" s="241"/>
    </row>
    <row r="1558" spans="1:5" customFormat="1" ht="24.95" customHeight="1" x14ac:dyDescent="0.25">
      <c r="A1558" s="241"/>
      <c r="B1558" s="243"/>
      <c r="C1558" s="241"/>
      <c r="D1558" s="241"/>
      <c r="E1558" s="241"/>
    </row>
    <row r="1559" spans="1:5" customFormat="1" ht="24.95" customHeight="1" x14ac:dyDescent="0.25">
      <c r="A1559" s="241"/>
      <c r="B1559" s="243"/>
      <c r="C1559" s="241"/>
      <c r="D1559" s="241"/>
      <c r="E1559" s="241"/>
    </row>
    <row r="1560" spans="1:5" customFormat="1" ht="24.95" customHeight="1" x14ac:dyDescent="0.25">
      <c r="A1560" s="241"/>
      <c r="B1560" s="243"/>
      <c r="C1560" s="241"/>
      <c r="D1560" s="241"/>
      <c r="E1560" s="241"/>
    </row>
    <row r="1561" spans="1:5" customFormat="1" ht="24.95" customHeight="1" x14ac:dyDescent="0.25">
      <c r="A1561" s="241"/>
      <c r="B1561" s="243"/>
      <c r="C1561" s="241"/>
      <c r="D1561" s="241"/>
      <c r="E1561" s="241"/>
    </row>
    <row r="1562" spans="1:5" customFormat="1" ht="24.95" customHeight="1" x14ac:dyDescent="0.25">
      <c r="A1562" s="241"/>
      <c r="B1562" s="243"/>
      <c r="C1562" s="241"/>
      <c r="D1562" s="241"/>
      <c r="E1562" s="241"/>
    </row>
    <row r="1563" spans="1:5" customFormat="1" ht="24.95" customHeight="1" x14ac:dyDescent="0.25">
      <c r="A1563" s="241"/>
      <c r="B1563" s="243"/>
      <c r="C1563" s="241"/>
      <c r="D1563" s="241"/>
      <c r="E1563" s="241"/>
    </row>
    <row r="1564" spans="1:5" customFormat="1" ht="24.95" customHeight="1" x14ac:dyDescent="0.25">
      <c r="A1564" s="241"/>
      <c r="B1564" s="243"/>
      <c r="C1564" s="241"/>
      <c r="D1564" s="241"/>
      <c r="E1564" s="241"/>
    </row>
    <row r="1565" spans="1:5" customFormat="1" ht="24.95" customHeight="1" x14ac:dyDescent="0.25">
      <c r="A1565" s="241"/>
      <c r="B1565" s="243"/>
      <c r="C1565" s="241"/>
      <c r="D1565" s="241"/>
      <c r="E1565" s="241"/>
    </row>
    <row r="1566" spans="1:5" customFormat="1" ht="24.95" customHeight="1" x14ac:dyDescent="0.25">
      <c r="A1566" s="241"/>
      <c r="B1566" s="243"/>
      <c r="C1566" s="241"/>
      <c r="D1566" s="241"/>
      <c r="E1566" s="241"/>
    </row>
    <row r="1567" spans="1:5" customFormat="1" ht="24.95" customHeight="1" x14ac:dyDescent="0.25">
      <c r="A1567" s="241"/>
      <c r="B1567" s="243"/>
      <c r="C1567" s="241"/>
      <c r="D1567" s="241"/>
      <c r="E1567" s="241"/>
    </row>
    <row r="1568" spans="1:5" customFormat="1" ht="24.95" customHeight="1" x14ac:dyDescent="0.25">
      <c r="A1568" s="241"/>
      <c r="B1568" s="243"/>
      <c r="C1568" s="241"/>
      <c r="D1568" s="241"/>
      <c r="E1568" s="241"/>
    </row>
    <row r="1569" spans="1:5" customFormat="1" ht="24.95" customHeight="1" x14ac:dyDescent="0.25">
      <c r="A1569" s="241"/>
      <c r="B1569" s="243"/>
      <c r="C1569" s="241"/>
      <c r="D1569" s="241"/>
      <c r="E1569" s="241"/>
    </row>
    <row r="1570" spans="1:5" customFormat="1" ht="24.95" customHeight="1" x14ac:dyDescent="0.25">
      <c r="A1570" s="241"/>
      <c r="B1570" s="243"/>
      <c r="C1570" s="241"/>
      <c r="D1570" s="241"/>
      <c r="E1570" s="241"/>
    </row>
    <row r="1571" spans="1:5" customFormat="1" ht="24.95" customHeight="1" x14ac:dyDescent="0.25">
      <c r="A1571" s="241"/>
      <c r="B1571" s="243"/>
      <c r="C1571" s="241"/>
      <c r="D1571" s="241"/>
      <c r="E1571" s="241"/>
    </row>
    <row r="1572" spans="1:5" customFormat="1" ht="24.95" customHeight="1" x14ac:dyDescent="0.25">
      <c r="A1572" s="241"/>
      <c r="B1572" s="243"/>
      <c r="C1572" s="241"/>
      <c r="D1572" s="241"/>
      <c r="E1572" s="241"/>
    </row>
    <row r="1573" spans="1:5" customFormat="1" ht="24.95" customHeight="1" x14ac:dyDescent="0.25">
      <c r="A1573" s="241"/>
      <c r="B1573" s="243"/>
      <c r="C1573" s="241"/>
      <c r="D1573" s="241"/>
      <c r="E1573" s="241"/>
    </row>
    <row r="1574" spans="1:5" customFormat="1" ht="24.95" customHeight="1" x14ac:dyDescent="0.25">
      <c r="A1574" s="241"/>
      <c r="B1574" s="243"/>
      <c r="C1574" s="241"/>
      <c r="D1574" s="241"/>
      <c r="E1574" s="241"/>
    </row>
    <row r="1575" spans="1:5" customFormat="1" ht="24.95" customHeight="1" x14ac:dyDescent="0.25">
      <c r="A1575" s="241"/>
      <c r="B1575" s="243"/>
      <c r="C1575" s="241"/>
      <c r="D1575" s="241"/>
      <c r="E1575" s="241"/>
    </row>
    <row r="1576" spans="1:5" customFormat="1" ht="24.95" customHeight="1" x14ac:dyDescent="0.25">
      <c r="A1576" s="241"/>
      <c r="B1576" s="243"/>
      <c r="C1576" s="241"/>
      <c r="D1576" s="241"/>
      <c r="E1576" s="241"/>
    </row>
    <row r="1577" spans="1:5" customFormat="1" ht="24.95" customHeight="1" x14ac:dyDescent="0.25">
      <c r="A1577" s="241"/>
      <c r="B1577" s="243"/>
      <c r="C1577" s="241"/>
      <c r="D1577" s="241"/>
      <c r="E1577" s="241"/>
    </row>
    <row r="1578" spans="1:5" customFormat="1" ht="24.95" customHeight="1" x14ac:dyDescent="0.25">
      <c r="A1578" s="241"/>
      <c r="B1578" s="243"/>
      <c r="C1578" s="241"/>
      <c r="D1578" s="241"/>
      <c r="E1578" s="241"/>
    </row>
    <row r="1579" spans="1:5" customFormat="1" ht="24.95" customHeight="1" x14ac:dyDescent="0.25">
      <c r="A1579" s="241"/>
      <c r="B1579" s="243"/>
      <c r="C1579" s="241"/>
      <c r="D1579" s="241"/>
      <c r="E1579" s="241"/>
    </row>
    <row r="1580" spans="1:5" customFormat="1" ht="24.95" customHeight="1" x14ac:dyDescent="0.25">
      <c r="A1580" s="241"/>
      <c r="B1580" s="243"/>
      <c r="C1580" s="241"/>
      <c r="D1580" s="241"/>
      <c r="E1580" s="241"/>
    </row>
    <row r="1581" spans="1:5" customFormat="1" ht="24.95" customHeight="1" x14ac:dyDescent="0.25">
      <c r="A1581" s="241"/>
      <c r="B1581" s="243"/>
      <c r="C1581" s="241"/>
      <c r="D1581" s="241"/>
      <c r="E1581" s="241"/>
    </row>
    <row r="1582" spans="1:5" customFormat="1" ht="24.95" customHeight="1" x14ac:dyDescent="0.25">
      <c r="A1582" s="241"/>
      <c r="B1582" s="243"/>
      <c r="C1582" s="241"/>
      <c r="D1582" s="241"/>
      <c r="E1582" s="241"/>
    </row>
    <row r="1583" spans="1:5" customFormat="1" ht="24.95" customHeight="1" x14ac:dyDescent="0.25">
      <c r="A1583" s="241"/>
      <c r="B1583" s="243"/>
      <c r="C1583" s="241"/>
      <c r="D1583" s="241"/>
      <c r="E1583" s="241"/>
    </row>
    <row r="1584" spans="1:5" customFormat="1" ht="24.95" customHeight="1" x14ac:dyDescent="0.25">
      <c r="A1584" s="241"/>
      <c r="B1584" s="243"/>
      <c r="C1584" s="241"/>
      <c r="D1584" s="241"/>
      <c r="E1584" s="241"/>
    </row>
    <row r="1585" spans="1:5" customFormat="1" ht="24.95" customHeight="1" x14ac:dyDescent="0.25">
      <c r="A1585" s="241"/>
      <c r="B1585" s="243"/>
      <c r="C1585" s="241"/>
      <c r="D1585" s="241"/>
      <c r="E1585" s="241"/>
    </row>
    <row r="1586" spans="1:5" customFormat="1" ht="24.95" customHeight="1" x14ac:dyDescent="0.25">
      <c r="A1586" s="241"/>
      <c r="B1586" s="243"/>
      <c r="C1586" s="241"/>
      <c r="D1586" s="241"/>
      <c r="E1586" s="241"/>
    </row>
    <row r="1587" spans="1:5" customFormat="1" ht="24.95" customHeight="1" x14ac:dyDescent="0.25">
      <c r="A1587" s="241"/>
      <c r="B1587" s="243"/>
      <c r="C1587" s="241"/>
      <c r="D1587" s="241"/>
      <c r="E1587" s="241"/>
    </row>
    <row r="1588" spans="1:5" customFormat="1" ht="24.95" customHeight="1" x14ac:dyDescent="0.25">
      <c r="A1588" s="241"/>
      <c r="B1588" s="243"/>
      <c r="C1588" s="241"/>
      <c r="D1588" s="241"/>
      <c r="E1588" s="241"/>
    </row>
    <row r="1589" spans="1:5" customFormat="1" ht="24.95" customHeight="1" x14ac:dyDescent="0.25">
      <c r="A1589" s="241"/>
      <c r="B1589" s="243"/>
      <c r="C1589" s="241"/>
      <c r="D1589" s="241"/>
      <c r="E1589" s="241"/>
    </row>
    <row r="1590" spans="1:5" customFormat="1" ht="24.95" customHeight="1" x14ac:dyDescent="0.25">
      <c r="A1590" s="241"/>
      <c r="B1590" s="243"/>
      <c r="C1590" s="241"/>
      <c r="D1590" s="241"/>
      <c r="E1590" s="241"/>
    </row>
    <row r="1591" spans="1:5" customFormat="1" ht="24.95" customHeight="1" x14ac:dyDescent="0.25">
      <c r="A1591" s="241"/>
      <c r="B1591" s="243"/>
      <c r="C1591" s="241"/>
      <c r="D1591" s="241"/>
      <c r="E1591" s="241"/>
    </row>
    <row r="1592" spans="1:5" customFormat="1" ht="24.95" customHeight="1" x14ac:dyDescent="0.25">
      <c r="A1592" s="241"/>
      <c r="B1592" s="243"/>
      <c r="C1592" s="241"/>
      <c r="D1592" s="241"/>
      <c r="E1592" s="241"/>
    </row>
    <row r="1593" spans="1:5" customFormat="1" ht="24.95" customHeight="1" x14ac:dyDescent="0.25">
      <c r="A1593" s="241"/>
      <c r="B1593" s="243"/>
      <c r="C1593" s="241"/>
      <c r="D1593" s="241"/>
      <c r="E1593" s="241"/>
    </row>
    <row r="1594" spans="1:5" customFormat="1" ht="24.95" customHeight="1" x14ac:dyDescent="0.25">
      <c r="A1594" s="241"/>
      <c r="B1594" s="243"/>
      <c r="C1594" s="241"/>
      <c r="D1594" s="241"/>
      <c r="E1594" s="241"/>
    </row>
    <row r="1595" spans="1:5" customFormat="1" ht="24.95" customHeight="1" x14ac:dyDescent="0.25">
      <c r="A1595" s="241"/>
      <c r="B1595" s="243"/>
      <c r="C1595" s="241"/>
      <c r="D1595" s="241"/>
      <c r="E1595" s="241"/>
    </row>
    <row r="1596" spans="1:5" customFormat="1" ht="24.95" customHeight="1" x14ac:dyDescent="0.25">
      <c r="A1596" s="241"/>
      <c r="B1596" s="243"/>
      <c r="C1596" s="241"/>
      <c r="D1596" s="241"/>
      <c r="E1596" s="241"/>
    </row>
    <row r="1597" spans="1:5" customFormat="1" ht="24.95" customHeight="1" x14ac:dyDescent="0.25">
      <c r="A1597" s="241"/>
      <c r="B1597" s="243"/>
      <c r="C1597" s="241"/>
      <c r="D1597" s="241"/>
      <c r="E1597" s="241"/>
    </row>
    <row r="1598" spans="1:5" customFormat="1" ht="24.95" customHeight="1" x14ac:dyDescent="0.25">
      <c r="A1598" s="241"/>
      <c r="B1598" s="243"/>
      <c r="C1598" s="241"/>
      <c r="D1598" s="241"/>
      <c r="E1598" s="241"/>
    </row>
    <row r="1599" spans="1:5" customFormat="1" ht="24.95" customHeight="1" x14ac:dyDescent="0.25">
      <c r="A1599" s="241"/>
      <c r="B1599" s="243"/>
      <c r="C1599" s="241"/>
      <c r="D1599" s="241"/>
      <c r="E1599" s="241"/>
    </row>
    <row r="1600" spans="1:5" customFormat="1" ht="24.95" customHeight="1" x14ac:dyDescent="0.25">
      <c r="A1600" s="241"/>
      <c r="B1600" s="243"/>
      <c r="C1600" s="241"/>
      <c r="D1600" s="241"/>
      <c r="E1600" s="241"/>
    </row>
    <row r="1601" spans="1:5" customFormat="1" ht="24.95" customHeight="1" x14ac:dyDescent="0.25">
      <c r="A1601" s="241"/>
      <c r="B1601" s="243"/>
      <c r="C1601" s="241"/>
      <c r="D1601" s="241"/>
      <c r="E1601" s="241"/>
    </row>
    <row r="1602" spans="1:5" customFormat="1" ht="24.95" customHeight="1" x14ac:dyDescent="0.25">
      <c r="A1602" s="241"/>
      <c r="B1602" s="243"/>
      <c r="C1602" s="241"/>
      <c r="D1602" s="241"/>
      <c r="E1602" s="241"/>
    </row>
    <row r="1603" spans="1:5" customFormat="1" ht="24.95" customHeight="1" x14ac:dyDescent="0.25">
      <c r="A1603" s="241"/>
      <c r="B1603" s="243"/>
      <c r="C1603" s="241"/>
      <c r="D1603" s="241"/>
      <c r="E1603" s="241"/>
    </row>
    <row r="1604" spans="1:5" customFormat="1" ht="24.95" customHeight="1" x14ac:dyDescent="0.25">
      <c r="A1604" s="241"/>
      <c r="B1604" s="243"/>
      <c r="C1604" s="241"/>
      <c r="D1604" s="241"/>
      <c r="E1604" s="241"/>
    </row>
    <row r="1605" spans="1:5" customFormat="1" ht="24.95" customHeight="1" x14ac:dyDescent="0.25">
      <c r="A1605" s="241"/>
      <c r="B1605" s="243"/>
      <c r="C1605" s="241"/>
      <c r="D1605" s="241"/>
      <c r="E1605" s="241"/>
    </row>
    <row r="1606" spans="1:5" customFormat="1" ht="24.95" customHeight="1" x14ac:dyDescent="0.25">
      <c r="A1606" s="241"/>
      <c r="B1606" s="243"/>
      <c r="C1606" s="241"/>
      <c r="D1606" s="241"/>
      <c r="E1606" s="241"/>
    </row>
    <row r="1607" spans="1:5" customFormat="1" ht="24.95" customHeight="1" x14ac:dyDescent="0.25">
      <c r="A1607" s="241"/>
      <c r="B1607" s="243"/>
      <c r="C1607" s="241"/>
      <c r="D1607" s="241"/>
      <c r="E1607" s="241"/>
    </row>
    <row r="1608" spans="1:5" customFormat="1" ht="24.95" customHeight="1" x14ac:dyDescent="0.25">
      <c r="A1608" s="241"/>
      <c r="B1608" s="243"/>
      <c r="C1608" s="241"/>
      <c r="D1608" s="241"/>
      <c r="E1608" s="241"/>
    </row>
    <row r="1609" spans="1:5" customFormat="1" ht="24.95" customHeight="1" x14ac:dyDescent="0.25">
      <c r="A1609" s="241"/>
      <c r="B1609" s="243"/>
      <c r="C1609" s="241"/>
      <c r="D1609" s="241"/>
      <c r="E1609" s="241"/>
    </row>
    <row r="1610" spans="1:5" customFormat="1" ht="24.95" customHeight="1" x14ac:dyDescent="0.25">
      <c r="A1610" s="241"/>
      <c r="B1610" s="243"/>
      <c r="C1610" s="241"/>
      <c r="D1610" s="241"/>
      <c r="E1610" s="241"/>
    </row>
    <row r="1611" spans="1:5" customFormat="1" ht="24.95" customHeight="1" x14ac:dyDescent="0.25">
      <c r="A1611" s="241"/>
      <c r="B1611" s="243"/>
      <c r="C1611" s="241"/>
      <c r="D1611" s="241"/>
      <c r="E1611" s="241"/>
    </row>
    <row r="1612" spans="1:5" customFormat="1" ht="24.95" customHeight="1" x14ac:dyDescent="0.25">
      <c r="A1612" s="241"/>
      <c r="B1612" s="243"/>
      <c r="C1612" s="241"/>
      <c r="D1612" s="241"/>
      <c r="E1612" s="241"/>
    </row>
    <row r="1613" spans="1:5" customFormat="1" ht="24.95" customHeight="1" x14ac:dyDescent="0.25">
      <c r="A1613" s="241"/>
      <c r="B1613" s="243"/>
      <c r="C1613" s="241"/>
      <c r="D1613" s="241"/>
      <c r="E1613" s="241"/>
    </row>
    <row r="1614" spans="1:5" customFormat="1" ht="24.95" customHeight="1" x14ac:dyDescent="0.25">
      <c r="A1614" s="241"/>
      <c r="B1614" s="243"/>
      <c r="C1614" s="241"/>
      <c r="D1614" s="241"/>
      <c r="E1614" s="241"/>
    </row>
    <row r="1615" spans="1:5" customFormat="1" ht="24.95" customHeight="1" x14ac:dyDescent="0.25">
      <c r="A1615" s="241"/>
      <c r="B1615" s="243"/>
      <c r="C1615" s="241"/>
      <c r="D1615" s="241"/>
      <c r="E1615" s="241"/>
    </row>
    <row r="1616" spans="1:5" customFormat="1" ht="24.95" customHeight="1" x14ac:dyDescent="0.25">
      <c r="A1616" s="241"/>
      <c r="B1616" s="243"/>
      <c r="C1616" s="241"/>
      <c r="D1616" s="241"/>
      <c r="E1616" s="241"/>
    </row>
    <row r="1617" spans="1:5" customFormat="1" ht="24.95" customHeight="1" x14ac:dyDescent="0.25">
      <c r="A1617" s="241"/>
      <c r="B1617" s="243"/>
      <c r="C1617" s="241"/>
      <c r="D1617" s="241"/>
      <c r="E1617" s="241"/>
    </row>
    <row r="1618" spans="1:5" customFormat="1" ht="24.95" customHeight="1" x14ac:dyDescent="0.25">
      <c r="A1618" s="241"/>
      <c r="B1618" s="243"/>
      <c r="C1618" s="241"/>
      <c r="D1618" s="241"/>
      <c r="E1618" s="241"/>
    </row>
    <row r="1619" spans="1:5" customFormat="1" ht="24.95" customHeight="1" x14ac:dyDescent="0.25">
      <c r="A1619" s="241"/>
      <c r="B1619" s="243"/>
      <c r="C1619" s="241"/>
      <c r="D1619" s="241"/>
      <c r="E1619" s="241"/>
    </row>
    <row r="1620" spans="1:5" customFormat="1" ht="24.95" customHeight="1" x14ac:dyDescent="0.25">
      <c r="A1620" s="241"/>
      <c r="B1620" s="243"/>
      <c r="C1620" s="241"/>
      <c r="D1620" s="241"/>
      <c r="E1620" s="241"/>
    </row>
    <row r="1621" spans="1:5" customFormat="1" ht="24.95" customHeight="1" x14ac:dyDescent="0.25">
      <c r="A1621" s="241"/>
      <c r="B1621" s="243"/>
      <c r="C1621" s="241"/>
      <c r="D1621" s="241"/>
      <c r="E1621" s="241"/>
    </row>
    <row r="1622" spans="1:5" customFormat="1" ht="24.95" customHeight="1" x14ac:dyDescent="0.25">
      <c r="A1622" s="241"/>
      <c r="B1622" s="243"/>
      <c r="C1622" s="241"/>
      <c r="D1622" s="241"/>
      <c r="E1622" s="241"/>
    </row>
    <row r="1623" spans="1:5" customFormat="1" ht="24.95" customHeight="1" x14ac:dyDescent="0.25">
      <c r="A1623" s="241"/>
      <c r="B1623" s="243"/>
      <c r="C1623" s="241"/>
      <c r="D1623" s="241"/>
      <c r="E1623" s="241"/>
    </row>
    <row r="1624" spans="1:5" customFormat="1" ht="24.95" customHeight="1" x14ac:dyDescent="0.25">
      <c r="A1624" s="241"/>
      <c r="B1624" s="243"/>
      <c r="C1624" s="241"/>
      <c r="D1624" s="241"/>
      <c r="E1624" s="241"/>
    </row>
    <row r="1625" spans="1:5" customFormat="1" ht="24.95" customHeight="1" x14ac:dyDescent="0.25">
      <c r="A1625" s="241"/>
      <c r="B1625" s="243"/>
      <c r="C1625" s="241"/>
      <c r="D1625" s="241"/>
      <c r="E1625" s="241"/>
    </row>
    <row r="1626" spans="1:5" customFormat="1" ht="24.95" customHeight="1" x14ac:dyDescent="0.25">
      <c r="A1626" s="241"/>
      <c r="B1626" s="243"/>
      <c r="C1626" s="241"/>
      <c r="D1626" s="241"/>
      <c r="E1626" s="241"/>
    </row>
    <row r="1627" spans="1:5" customFormat="1" ht="24.95" customHeight="1" x14ac:dyDescent="0.25">
      <c r="A1627" s="241"/>
      <c r="B1627" s="243"/>
      <c r="C1627" s="241"/>
      <c r="D1627" s="241"/>
      <c r="E1627" s="241"/>
    </row>
    <row r="1628" spans="1:5" customFormat="1" ht="24.95" customHeight="1" x14ac:dyDescent="0.25">
      <c r="A1628" s="241"/>
      <c r="B1628" s="243"/>
      <c r="C1628" s="241"/>
      <c r="D1628" s="241"/>
      <c r="E1628" s="241"/>
    </row>
    <row r="1629" spans="1:5" customFormat="1" ht="24.95" customHeight="1" x14ac:dyDescent="0.25">
      <c r="A1629" s="241"/>
      <c r="B1629" s="243"/>
      <c r="C1629" s="241"/>
      <c r="D1629" s="241"/>
      <c r="E1629" s="241"/>
    </row>
    <row r="1630" spans="1:5" customFormat="1" ht="24.95" customHeight="1" x14ac:dyDescent="0.25">
      <c r="A1630" s="241"/>
      <c r="B1630" s="243"/>
      <c r="C1630" s="241"/>
      <c r="D1630" s="241"/>
      <c r="E1630" s="241"/>
    </row>
    <row r="1631" spans="1:5" customFormat="1" ht="24.95" customHeight="1" x14ac:dyDescent="0.25">
      <c r="A1631" s="241"/>
      <c r="B1631" s="243"/>
      <c r="C1631" s="241"/>
      <c r="D1631" s="241"/>
      <c r="E1631" s="241"/>
    </row>
    <row r="1632" spans="1:5" customFormat="1" ht="24.95" customHeight="1" x14ac:dyDescent="0.25">
      <c r="A1632" s="241"/>
      <c r="B1632" s="243"/>
      <c r="C1632" s="241"/>
      <c r="D1632" s="241"/>
      <c r="E1632" s="241"/>
    </row>
    <row r="1633" spans="1:5" customFormat="1" ht="24.95" customHeight="1" x14ac:dyDescent="0.25">
      <c r="A1633" s="241"/>
      <c r="B1633" s="243"/>
      <c r="C1633" s="241"/>
      <c r="D1633" s="241"/>
      <c r="E1633" s="241"/>
    </row>
    <row r="1634" spans="1:5" customFormat="1" ht="24.95" customHeight="1" x14ac:dyDescent="0.25">
      <c r="A1634" s="241"/>
      <c r="B1634" s="243"/>
      <c r="C1634" s="241"/>
      <c r="D1634" s="241"/>
      <c r="E1634" s="241"/>
    </row>
    <row r="1635" spans="1:5" customFormat="1" ht="24.95" customHeight="1" x14ac:dyDescent="0.25">
      <c r="A1635" s="241"/>
      <c r="B1635" s="243"/>
      <c r="C1635" s="241"/>
      <c r="D1635" s="241"/>
      <c r="E1635" s="241"/>
    </row>
    <row r="1636" spans="1:5" customFormat="1" ht="24.95" customHeight="1" x14ac:dyDescent="0.25">
      <c r="A1636" s="241"/>
      <c r="B1636" s="243"/>
      <c r="C1636" s="241"/>
      <c r="D1636" s="241"/>
      <c r="E1636" s="241"/>
    </row>
    <row r="1637" spans="1:5" customFormat="1" ht="24.95" customHeight="1" x14ac:dyDescent="0.25">
      <c r="A1637" s="241"/>
      <c r="B1637" s="243"/>
      <c r="C1637" s="241"/>
      <c r="D1637" s="241"/>
      <c r="E1637" s="241"/>
    </row>
    <row r="1638" spans="1:5" customFormat="1" ht="24.95" customHeight="1" x14ac:dyDescent="0.25">
      <c r="A1638" s="241"/>
      <c r="B1638" s="243"/>
      <c r="C1638" s="241"/>
      <c r="D1638" s="241"/>
      <c r="E1638" s="241"/>
    </row>
    <row r="1639" spans="1:5" customFormat="1" ht="24.95" customHeight="1" x14ac:dyDescent="0.25">
      <c r="A1639" s="241"/>
      <c r="B1639" s="243"/>
      <c r="C1639" s="241"/>
      <c r="D1639" s="241"/>
      <c r="E1639" s="241"/>
    </row>
    <row r="1640" spans="1:5" customFormat="1" ht="24.95" customHeight="1" x14ac:dyDescent="0.25">
      <c r="A1640" s="241"/>
      <c r="B1640" s="243"/>
      <c r="C1640" s="241"/>
      <c r="D1640" s="241"/>
      <c r="E1640" s="241"/>
    </row>
    <row r="1641" spans="1:5" customFormat="1" ht="24.95" customHeight="1" x14ac:dyDescent="0.25">
      <c r="A1641" s="241"/>
      <c r="B1641" s="243"/>
      <c r="C1641" s="241"/>
      <c r="D1641" s="241"/>
      <c r="E1641" s="241"/>
    </row>
    <row r="1642" spans="1:5" customFormat="1" ht="24.95" customHeight="1" x14ac:dyDescent="0.25">
      <c r="A1642" s="241"/>
      <c r="B1642" s="243"/>
      <c r="C1642" s="241"/>
      <c r="D1642" s="241"/>
      <c r="E1642" s="241"/>
    </row>
    <row r="1643" spans="1:5" customFormat="1" ht="24.95" customHeight="1" x14ac:dyDescent="0.25">
      <c r="A1643" s="241"/>
      <c r="B1643" s="243"/>
      <c r="C1643" s="241"/>
      <c r="D1643" s="241"/>
      <c r="E1643" s="241"/>
    </row>
    <row r="1644" spans="1:5" customFormat="1" ht="24.95" customHeight="1" x14ac:dyDescent="0.25">
      <c r="A1644" s="241"/>
      <c r="B1644" s="243"/>
      <c r="C1644" s="241"/>
      <c r="D1644" s="241"/>
      <c r="E1644" s="241"/>
    </row>
    <row r="1645" spans="1:5" customFormat="1" ht="24.95" customHeight="1" x14ac:dyDescent="0.25">
      <c r="A1645" s="241"/>
      <c r="B1645" s="243"/>
      <c r="C1645" s="241"/>
      <c r="D1645" s="241"/>
      <c r="E1645" s="241"/>
    </row>
    <row r="1646" spans="1:5" customFormat="1" ht="24.95" customHeight="1" x14ac:dyDescent="0.25">
      <c r="A1646" s="241"/>
      <c r="B1646" s="243"/>
      <c r="C1646" s="241"/>
      <c r="D1646" s="241"/>
      <c r="E1646" s="241"/>
    </row>
    <row r="1647" spans="1:5" customFormat="1" ht="24.95" customHeight="1" x14ac:dyDescent="0.25">
      <c r="A1647" s="241"/>
      <c r="B1647" s="243"/>
      <c r="C1647" s="241"/>
      <c r="D1647" s="241"/>
      <c r="E1647" s="241"/>
    </row>
    <row r="1648" spans="1:5" customFormat="1" ht="24.95" customHeight="1" x14ac:dyDescent="0.25">
      <c r="A1648" s="241"/>
      <c r="B1648" s="243"/>
      <c r="C1648" s="241"/>
      <c r="D1648" s="241"/>
      <c r="E1648" s="241"/>
    </row>
    <row r="1649" spans="1:5" customFormat="1" ht="24.95" customHeight="1" x14ac:dyDescent="0.25">
      <c r="A1649" s="241"/>
      <c r="B1649" s="243"/>
      <c r="C1649" s="241"/>
      <c r="D1649" s="241"/>
      <c r="E1649" s="241"/>
    </row>
    <row r="1650" spans="1:5" customFormat="1" ht="24.95" customHeight="1" x14ac:dyDescent="0.25">
      <c r="A1650" s="241"/>
      <c r="B1650" s="243"/>
      <c r="C1650" s="241"/>
      <c r="D1650" s="241"/>
      <c r="E1650" s="241"/>
    </row>
    <row r="1651" spans="1:5" customFormat="1" ht="24.95" customHeight="1" x14ac:dyDescent="0.25">
      <c r="A1651" s="241"/>
      <c r="B1651" s="243"/>
      <c r="C1651" s="241"/>
      <c r="D1651" s="241"/>
      <c r="E1651" s="241"/>
    </row>
    <row r="1652" spans="1:5" customFormat="1" ht="24.95" customHeight="1" x14ac:dyDescent="0.25">
      <c r="A1652" s="241"/>
      <c r="B1652" s="243"/>
      <c r="C1652" s="241"/>
      <c r="D1652" s="241"/>
      <c r="E1652" s="241"/>
    </row>
    <row r="1653" spans="1:5" customFormat="1" ht="24.95" customHeight="1" x14ac:dyDescent="0.25">
      <c r="A1653" s="241"/>
      <c r="B1653" s="243"/>
      <c r="C1653" s="241"/>
      <c r="D1653" s="241"/>
      <c r="E1653" s="241"/>
    </row>
    <row r="1654" spans="1:5" customFormat="1" ht="24.95" customHeight="1" x14ac:dyDescent="0.25">
      <c r="A1654" s="241"/>
      <c r="B1654" s="243"/>
      <c r="C1654" s="241"/>
      <c r="D1654" s="241"/>
      <c r="E1654" s="241"/>
    </row>
    <row r="1655" spans="1:5" customFormat="1" ht="24.95" customHeight="1" x14ac:dyDescent="0.25">
      <c r="A1655" s="241"/>
      <c r="B1655" s="243"/>
      <c r="C1655" s="241"/>
      <c r="D1655" s="241"/>
      <c r="E1655" s="241"/>
    </row>
    <row r="1656" spans="1:5" customFormat="1" ht="24.95" customHeight="1" x14ac:dyDescent="0.25">
      <c r="A1656" s="241"/>
      <c r="B1656" s="243"/>
      <c r="C1656" s="241"/>
      <c r="D1656" s="241"/>
      <c r="E1656" s="241"/>
    </row>
    <row r="1657" spans="1:5" customFormat="1" ht="24.95" customHeight="1" x14ac:dyDescent="0.25">
      <c r="A1657" s="241"/>
      <c r="B1657" s="243"/>
      <c r="C1657" s="241"/>
      <c r="D1657" s="241"/>
      <c r="E1657" s="241"/>
    </row>
    <row r="1658" spans="1:5" customFormat="1" ht="24.95" customHeight="1" x14ac:dyDescent="0.25">
      <c r="A1658" s="241"/>
      <c r="B1658" s="243"/>
      <c r="C1658" s="241"/>
      <c r="D1658" s="241"/>
      <c r="E1658" s="241"/>
    </row>
    <row r="1659" spans="1:5" customFormat="1" ht="24.95" customHeight="1" x14ac:dyDescent="0.25">
      <c r="A1659" s="241"/>
      <c r="B1659" s="243"/>
      <c r="C1659" s="241"/>
      <c r="D1659" s="241"/>
      <c r="E1659" s="241"/>
    </row>
    <row r="1660" spans="1:5" customFormat="1" ht="24.95" customHeight="1" x14ac:dyDescent="0.25">
      <c r="A1660" s="241"/>
      <c r="B1660" s="243"/>
      <c r="C1660" s="241"/>
      <c r="D1660" s="241"/>
      <c r="E1660" s="241"/>
    </row>
    <row r="1661" spans="1:5" customFormat="1" ht="24.95" customHeight="1" x14ac:dyDescent="0.25">
      <c r="A1661" s="241"/>
      <c r="B1661" s="243"/>
      <c r="C1661" s="241"/>
      <c r="D1661" s="241"/>
      <c r="E1661" s="241"/>
    </row>
    <row r="1662" spans="1:5" customFormat="1" ht="24.95" customHeight="1" x14ac:dyDescent="0.25">
      <c r="A1662" s="241"/>
      <c r="B1662" s="243"/>
      <c r="C1662" s="241"/>
      <c r="D1662" s="241"/>
      <c r="E1662" s="241"/>
    </row>
    <row r="1663" spans="1:5" customFormat="1" ht="24.95" customHeight="1" x14ac:dyDescent="0.25">
      <c r="A1663" s="241"/>
      <c r="B1663" s="243"/>
      <c r="C1663" s="241"/>
      <c r="D1663" s="241"/>
      <c r="E1663" s="241"/>
    </row>
    <row r="1664" spans="1:5" customFormat="1" ht="24.95" customHeight="1" x14ac:dyDescent="0.25">
      <c r="A1664" s="241"/>
      <c r="B1664" s="243"/>
      <c r="C1664" s="241"/>
      <c r="D1664" s="241"/>
      <c r="E1664" s="241"/>
    </row>
    <row r="1665" spans="1:5" customFormat="1" ht="24.95" customHeight="1" x14ac:dyDescent="0.25">
      <c r="A1665" s="241"/>
      <c r="B1665" s="243"/>
      <c r="C1665" s="241"/>
      <c r="D1665" s="241"/>
      <c r="E1665" s="241"/>
    </row>
    <row r="1666" spans="1:5" customFormat="1" ht="24.95" customHeight="1" x14ac:dyDescent="0.25">
      <c r="A1666" s="241"/>
      <c r="B1666" s="243"/>
      <c r="C1666" s="241"/>
      <c r="D1666" s="241"/>
      <c r="E1666" s="241"/>
    </row>
    <row r="1667" spans="1:5" customFormat="1" ht="24.95" customHeight="1" x14ac:dyDescent="0.25">
      <c r="A1667" s="241"/>
      <c r="B1667" s="243"/>
      <c r="C1667" s="241"/>
      <c r="D1667" s="241"/>
      <c r="E1667" s="241"/>
    </row>
    <row r="1668" spans="1:5" customFormat="1" ht="24.95" customHeight="1" x14ac:dyDescent="0.25">
      <c r="A1668" s="241"/>
      <c r="B1668" s="243"/>
      <c r="C1668" s="241"/>
      <c r="D1668" s="241"/>
      <c r="E1668" s="241"/>
    </row>
    <row r="1669" spans="1:5" customFormat="1" ht="24.95" customHeight="1" x14ac:dyDescent="0.25">
      <c r="A1669" s="241"/>
      <c r="B1669" s="243"/>
      <c r="C1669" s="241"/>
      <c r="D1669" s="241"/>
      <c r="E1669" s="241"/>
    </row>
    <row r="1670" spans="1:5" customFormat="1" ht="24.95" customHeight="1" x14ac:dyDescent="0.25">
      <c r="A1670" s="241"/>
      <c r="B1670" s="243"/>
      <c r="C1670" s="241"/>
      <c r="D1670" s="241"/>
      <c r="E1670" s="241"/>
    </row>
    <row r="1671" spans="1:5" customFormat="1" ht="24.95" customHeight="1" x14ac:dyDescent="0.25">
      <c r="A1671" s="241"/>
      <c r="B1671" s="243"/>
      <c r="C1671" s="241"/>
      <c r="D1671" s="241"/>
      <c r="E1671" s="241"/>
    </row>
    <row r="1672" spans="1:5" customFormat="1" ht="24.95" customHeight="1" x14ac:dyDescent="0.25">
      <c r="A1672" s="241"/>
      <c r="B1672" s="243"/>
      <c r="C1672" s="241"/>
      <c r="D1672" s="241"/>
      <c r="E1672" s="241"/>
    </row>
    <row r="1673" spans="1:5" customFormat="1" ht="24.95" customHeight="1" x14ac:dyDescent="0.25">
      <c r="A1673" s="241"/>
      <c r="B1673" s="243"/>
      <c r="C1673" s="241"/>
      <c r="D1673" s="241"/>
      <c r="E1673" s="241"/>
    </row>
    <row r="1674" spans="1:5" customFormat="1" ht="24.95" customHeight="1" x14ac:dyDescent="0.25">
      <c r="A1674" s="241"/>
      <c r="B1674" s="243"/>
      <c r="C1674" s="241"/>
      <c r="D1674" s="241"/>
      <c r="E1674" s="241"/>
    </row>
    <row r="1675" spans="1:5" customFormat="1" ht="24.95" customHeight="1" x14ac:dyDescent="0.25">
      <c r="A1675" s="241"/>
      <c r="B1675" s="243"/>
      <c r="C1675" s="241"/>
      <c r="D1675" s="241"/>
      <c r="E1675" s="241"/>
    </row>
    <row r="1676" spans="1:5" customFormat="1" ht="24.95" customHeight="1" x14ac:dyDescent="0.25">
      <c r="A1676" s="241"/>
      <c r="B1676" s="243"/>
      <c r="C1676" s="241"/>
      <c r="D1676" s="241"/>
      <c r="E1676" s="241"/>
    </row>
    <row r="1677" spans="1:5" customFormat="1" ht="24.95" customHeight="1" x14ac:dyDescent="0.25">
      <c r="A1677" s="241"/>
      <c r="B1677" s="243"/>
      <c r="C1677" s="241"/>
      <c r="D1677" s="241"/>
      <c r="E1677" s="241"/>
    </row>
    <row r="1678" spans="1:5" customFormat="1" ht="24.95" customHeight="1" x14ac:dyDescent="0.25">
      <c r="A1678" s="241"/>
      <c r="B1678" s="243"/>
      <c r="C1678" s="241"/>
      <c r="D1678" s="241"/>
      <c r="E1678" s="241"/>
    </row>
    <row r="1679" spans="1:5" customFormat="1" ht="24.95" customHeight="1" x14ac:dyDescent="0.25">
      <c r="A1679" s="241"/>
      <c r="B1679" s="243"/>
      <c r="C1679" s="241"/>
      <c r="D1679" s="241"/>
      <c r="E1679" s="241"/>
    </row>
    <row r="1680" spans="1:5" customFormat="1" ht="24.95" customHeight="1" x14ac:dyDescent="0.25">
      <c r="A1680" s="241"/>
      <c r="B1680" s="243"/>
      <c r="C1680" s="241"/>
      <c r="D1680" s="241"/>
      <c r="E1680" s="241"/>
    </row>
    <row r="1681" spans="1:5" customFormat="1" ht="24.95" customHeight="1" x14ac:dyDescent="0.25">
      <c r="A1681" s="241"/>
      <c r="B1681" s="243"/>
      <c r="C1681" s="241"/>
      <c r="D1681" s="241"/>
      <c r="E1681" s="241"/>
    </row>
    <row r="1682" spans="1:5" customFormat="1" ht="24.95" customHeight="1" x14ac:dyDescent="0.25">
      <c r="A1682" s="241"/>
      <c r="B1682" s="243"/>
      <c r="C1682" s="241"/>
      <c r="D1682" s="241"/>
      <c r="E1682" s="241"/>
    </row>
    <row r="1683" spans="1:5" customFormat="1" ht="24.95" customHeight="1" x14ac:dyDescent="0.25">
      <c r="A1683" s="241"/>
      <c r="B1683" s="243"/>
      <c r="C1683" s="241"/>
      <c r="D1683" s="241"/>
      <c r="E1683" s="241"/>
    </row>
    <row r="1684" spans="1:5" customFormat="1" ht="24.95" customHeight="1" x14ac:dyDescent="0.25">
      <c r="A1684" s="241"/>
      <c r="B1684" s="243"/>
      <c r="C1684" s="241"/>
      <c r="D1684" s="241"/>
      <c r="E1684" s="241"/>
    </row>
    <row r="1685" spans="1:5" customFormat="1" ht="24.95" customHeight="1" x14ac:dyDescent="0.25">
      <c r="A1685" s="241"/>
      <c r="B1685" s="243"/>
      <c r="C1685" s="241"/>
      <c r="D1685" s="241"/>
      <c r="E1685" s="241"/>
    </row>
    <row r="1686" spans="1:5" customFormat="1" ht="24.95" customHeight="1" x14ac:dyDescent="0.25">
      <c r="A1686" s="241"/>
      <c r="B1686" s="243"/>
      <c r="C1686" s="241"/>
      <c r="D1686" s="241"/>
      <c r="E1686" s="241"/>
    </row>
    <row r="1687" spans="1:5" customFormat="1" ht="24.95" customHeight="1" x14ac:dyDescent="0.25">
      <c r="A1687" s="241"/>
      <c r="B1687" s="243"/>
      <c r="C1687" s="241"/>
      <c r="D1687" s="241"/>
      <c r="E1687" s="241"/>
    </row>
    <row r="1688" spans="1:5" customFormat="1" ht="24.95" customHeight="1" x14ac:dyDescent="0.25">
      <c r="A1688" s="241"/>
      <c r="B1688" s="243"/>
      <c r="C1688" s="241"/>
      <c r="D1688" s="241"/>
      <c r="E1688" s="241"/>
    </row>
    <row r="1689" spans="1:5" customFormat="1" ht="24.95" customHeight="1" x14ac:dyDescent="0.25">
      <c r="A1689" s="241"/>
      <c r="B1689" s="243"/>
      <c r="C1689" s="241"/>
      <c r="D1689" s="241"/>
      <c r="E1689" s="241"/>
    </row>
    <row r="1690" spans="1:5" customFormat="1" ht="24.95" customHeight="1" x14ac:dyDescent="0.25">
      <c r="A1690" s="241"/>
      <c r="B1690" s="243"/>
      <c r="C1690" s="241"/>
      <c r="D1690" s="241"/>
      <c r="E1690" s="241"/>
    </row>
    <row r="1691" spans="1:5" customFormat="1" ht="24.95" customHeight="1" x14ac:dyDescent="0.25">
      <c r="A1691" s="241"/>
      <c r="B1691" s="243"/>
      <c r="C1691" s="241"/>
      <c r="D1691" s="241"/>
      <c r="E1691" s="241"/>
    </row>
    <row r="1692" spans="1:5" customFormat="1" ht="24.95" customHeight="1" x14ac:dyDescent="0.25">
      <c r="A1692" s="241"/>
      <c r="B1692" s="243"/>
      <c r="C1692" s="241"/>
      <c r="D1692" s="241"/>
      <c r="E1692" s="241"/>
    </row>
    <row r="1693" spans="1:5" customFormat="1" ht="24.95" customHeight="1" x14ac:dyDescent="0.25">
      <c r="A1693" s="241"/>
      <c r="B1693" s="243"/>
      <c r="C1693" s="241"/>
      <c r="D1693" s="241"/>
      <c r="E1693" s="241"/>
    </row>
    <row r="1694" spans="1:5" customFormat="1" ht="24.95" customHeight="1" x14ac:dyDescent="0.25">
      <c r="A1694" s="241"/>
      <c r="B1694" s="243"/>
      <c r="C1694" s="241"/>
      <c r="D1694" s="241"/>
      <c r="E1694" s="241"/>
    </row>
    <row r="1695" spans="1:5" customFormat="1" ht="24.95" customHeight="1" x14ac:dyDescent="0.25">
      <c r="A1695" s="241"/>
      <c r="B1695" s="243"/>
      <c r="C1695" s="241"/>
      <c r="D1695" s="241"/>
      <c r="E1695" s="241"/>
    </row>
    <row r="1696" spans="1:5" customFormat="1" ht="24.95" customHeight="1" x14ac:dyDescent="0.25">
      <c r="A1696" s="241"/>
      <c r="B1696" s="243"/>
      <c r="C1696" s="241"/>
      <c r="D1696" s="241"/>
      <c r="E1696" s="241"/>
    </row>
    <row r="1697" spans="1:5" customFormat="1" ht="24.95" customHeight="1" x14ac:dyDescent="0.25">
      <c r="A1697" s="241"/>
      <c r="B1697" s="243"/>
      <c r="C1697" s="241"/>
      <c r="D1697" s="241"/>
      <c r="E1697" s="241"/>
    </row>
    <row r="1698" spans="1:5" customFormat="1" ht="24.95" customHeight="1" x14ac:dyDescent="0.25">
      <c r="A1698" s="241"/>
      <c r="B1698" s="243"/>
      <c r="C1698" s="241"/>
      <c r="D1698" s="241"/>
      <c r="E1698" s="241"/>
    </row>
    <row r="1699" spans="1:5" customFormat="1" ht="24.95" customHeight="1" x14ac:dyDescent="0.25">
      <c r="A1699" s="241"/>
      <c r="B1699" s="243"/>
      <c r="C1699" s="241"/>
      <c r="D1699" s="241"/>
      <c r="E1699" s="241"/>
    </row>
    <row r="1700" spans="1:5" customFormat="1" ht="24.95" customHeight="1" x14ac:dyDescent="0.25">
      <c r="A1700" s="241"/>
      <c r="B1700" s="243"/>
      <c r="C1700" s="241"/>
      <c r="D1700" s="241"/>
      <c r="E1700" s="241"/>
    </row>
    <row r="1701" spans="1:5" customFormat="1" ht="24.95" customHeight="1" x14ac:dyDescent="0.25">
      <c r="A1701" s="241"/>
      <c r="B1701" s="243"/>
      <c r="C1701" s="241"/>
      <c r="D1701" s="241"/>
      <c r="E1701" s="241"/>
    </row>
    <row r="1702" spans="1:5" customFormat="1" ht="24.95" customHeight="1" x14ac:dyDescent="0.25">
      <c r="A1702" s="241"/>
      <c r="B1702" s="243"/>
      <c r="C1702" s="241"/>
      <c r="D1702" s="241"/>
      <c r="E1702" s="241"/>
    </row>
    <row r="1703" spans="1:5" customFormat="1" ht="24.95" customHeight="1" x14ac:dyDescent="0.25">
      <c r="A1703" s="241"/>
      <c r="B1703" s="243"/>
      <c r="C1703" s="241"/>
      <c r="D1703" s="241"/>
      <c r="E1703" s="241"/>
    </row>
    <row r="1704" spans="1:5" customFormat="1" ht="24.95" customHeight="1" x14ac:dyDescent="0.25">
      <c r="A1704" s="241"/>
      <c r="B1704" s="243"/>
      <c r="C1704" s="241"/>
      <c r="D1704" s="241"/>
      <c r="E1704" s="241"/>
    </row>
    <row r="1705" spans="1:5" customFormat="1" ht="24.95" customHeight="1" x14ac:dyDescent="0.25">
      <c r="A1705" s="241"/>
      <c r="B1705" s="243"/>
      <c r="C1705" s="241"/>
      <c r="D1705" s="241"/>
      <c r="E1705" s="241"/>
    </row>
    <row r="1706" spans="1:5" customFormat="1" ht="24.95" customHeight="1" x14ac:dyDescent="0.25">
      <c r="A1706" s="241"/>
      <c r="B1706" s="243"/>
      <c r="C1706" s="241"/>
      <c r="D1706" s="241"/>
      <c r="E1706" s="241"/>
    </row>
    <row r="1707" spans="1:5" customFormat="1" ht="24.95" customHeight="1" x14ac:dyDescent="0.25">
      <c r="A1707" s="241"/>
      <c r="B1707" s="243"/>
      <c r="C1707" s="241"/>
      <c r="D1707" s="241"/>
      <c r="E1707" s="241"/>
    </row>
    <row r="1708" spans="1:5" customFormat="1" ht="24.95" customHeight="1" x14ac:dyDescent="0.25">
      <c r="A1708" s="241"/>
      <c r="B1708" s="243"/>
      <c r="C1708" s="241"/>
      <c r="D1708" s="241"/>
      <c r="E1708" s="241"/>
    </row>
    <row r="1709" spans="1:5" customFormat="1" ht="24.95" customHeight="1" x14ac:dyDescent="0.25">
      <c r="A1709" s="241"/>
      <c r="B1709" s="243"/>
      <c r="C1709" s="241"/>
      <c r="D1709" s="241"/>
      <c r="E1709" s="241"/>
    </row>
    <row r="1710" spans="1:5" customFormat="1" ht="24.95" customHeight="1" x14ac:dyDescent="0.25">
      <c r="A1710" s="241"/>
      <c r="B1710" s="243"/>
      <c r="C1710" s="241"/>
      <c r="D1710" s="241"/>
      <c r="E1710" s="241"/>
    </row>
    <row r="1711" spans="1:5" customFormat="1" ht="24.95" customHeight="1" x14ac:dyDescent="0.25">
      <c r="A1711" s="241"/>
      <c r="B1711" s="243"/>
      <c r="C1711" s="241"/>
      <c r="D1711" s="241"/>
      <c r="E1711" s="241"/>
    </row>
    <row r="1712" spans="1:5" customFormat="1" ht="24.95" customHeight="1" x14ac:dyDescent="0.25">
      <c r="A1712" s="241"/>
      <c r="B1712" s="243"/>
      <c r="C1712" s="241"/>
      <c r="D1712" s="241"/>
      <c r="E1712" s="241"/>
    </row>
    <row r="1713" spans="1:5" customFormat="1" ht="24.95" customHeight="1" x14ac:dyDescent="0.25">
      <c r="A1713" s="241"/>
      <c r="B1713" s="243"/>
      <c r="C1713" s="241"/>
      <c r="D1713" s="241"/>
      <c r="E1713" s="241"/>
    </row>
    <row r="1714" spans="1:5" customFormat="1" ht="24.95" customHeight="1" x14ac:dyDescent="0.25">
      <c r="A1714" s="241"/>
      <c r="B1714" s="243"/>
      <c r="C1714" s="241"/>
      <c r="D1714" s="241"/>
      <c r="E1714" s="241"/>
    </row>
    <row r="1715" spans="1:5" customFormat="1" ht="24.95" customHeight="1" x14ac:dyDescent="0.25">
      <c r="A1715" s="241"/>
      <c r="B1715" s="243"/>
      <c r="C1715" s="241"/>
      <c r="D1715" s="241"/>
      <c r="E1715" s="241"/>
    </row>
    <row r="1716" spans="1:5" customFormat="1" ht="24.95" customHeight="1" x14ac:dyDescent="0.25">
      <c r="A1716" s="241"/>
      <c r="B1716" s="243"/>
      <c r="C1716" s="241"/>
      <c r="D1716" s="241"/>
      <c r="E1716" s="241"/>
    </row>
    <row r="1717" spans="1:5" customFormat="1" ht="24.95" customHeight="1" x14ac:dyDescent="0.25">
      <c r="A1717" s="241"/>
      <c r="B1717" s="243"/>
      <c r="C1717" s="241"/>
      <c r="D1717" s="241"/>
      <c r="E1717" s="241"/>
    </row>
    <row r="1718" spans="1:5" customFormat="1" ht="24.95" customHeight="1" x14ac:dyDescent="0.25">
      <c r="A1718" s="241"/>
      <c r="B1718" s="243"/>
      <c r="C1718" s="241"/>
      <c r="D1718" s="241"/>
      <c r="E1718" s="241"/>
    </row>
    <row r="1719" spans="1:5" customFormat="1" ht="24.95" customHeight="1" x14ac:dyDescent="0.25">
      <c r="A1719" s="241"/>
      <c r="B1719" s="243"/>
      <c r="C1719" s="241"/>
      <c r="D1719" s="241"/>
      <c r="E1719" s="241"/>
    </row>
    <row r="1720" spans="1:5" customFormat="1" ht="24.95" customHeight="1" x14ac:dyDescent="0.25">
      <c r="A1720" s="241"/>
      <c r="B1720" s="243"/>
      <c r="C1720" s="241"/>
      <c r="D1720" s="241"/>
      <c r="E1720" s="241"/>
    </row>
    <row r="1721" spans="1:5" customFormat="1" ht="24.95" customHeight="1" x14ac:dyDescent="0.25">
      <c r="A1721" s="241"/>
      <c r="B1721" s="243"/>
      <c r="C1721" s="241"/>
      <c r="D1721" s="241"/>
      <c r="E1721" s="241"/>
    </row>
    <row r="1722" spans="1:5" customFormat="1" ht="24.95" customHeight="1" x14ac:dyDescent="0.25">
      <c r="A1722" s="241"/>
      <c r="B1722" s="243"/>
      <c r="C1722" s="241"/>
      <c r="D1722" s="241"/>
      <c r="E1722" s="241"/>
    </row>
    <row r="1723" spans="1:5" customFormat="1" ht="24.95" customHeight="1" x14ac:dyDescent="0.25">
      <c r="A1723" s="241"/>
      <c r="B1723" s="243"/>
      <c r="C1723" s="241"/>
      <c r="D1723" s="241"/>
      <c r="E1723" s="241"/>
    </row>
    <row r="1724" spans="1:5" customFormat="1" ht="24.95" customHeight="1" x14ac:dyDescent="0.25">
      <c r="A1724" s="241"/>
      <c r="B1724" s="243"/>
      <c r="C1724" s="241"/>
      <c r="D1724" s="241"/>
      <c r="E1724" s="241"/>
    </row>
    <row r="1725" spans="1:5" customFormat="1" ht="24.95" customHeight="1" x14ac:dyDescent="0.25">
      <c r="A1725" s="241"/>
      <c r="B1725" s="243"/>
      <c r="C1725" s="241"/>
      <c r="D1725" s="241"/>
      <c r="E1725" s="241"/>
    </row>
    <row r="1726" spans="1:5" customFormat="1" ht="24.95" customHeight="1" x14ac:dyDescent="0.25">
      <c r="A1726" s="241"/>
      <c r="B1726" s="243"/>
      <c r="C1726" s="241"/>
      <c r="D1726" s="241"/>
      <c r="E1726" s="241"/>
    </row>
    <row r="1727" spans="1:5" customFormat="1" ht="24.95" customHeight="1" x14ac:dyDescent="0.25">
      <c r="A1727" s="241"/>
      <c r="B1727" s="243"/>
      <c r="C1727" s="241"/>
      <c r="D1727" s="241"/>
      <c r="E1727" s="241"/>
    </row>
    <row r="1728" spans="1:5" customFormat="1" ht="24.95" customHeight="1" x14ac:dyDescent="0.25">
      <c r="A1728" s="241"/>
      <c r="B1728" s="243"/>
      <c r="C1728" s="241"/>
      <c r="D1728" s="241"/>
      <c r="E1728" s="241"/>
    </row>
    <row r="1729" spans="1:5" customFormat="1" ht="24.95" customHeight="1" x14ac:dyDescent="0.25">
      <c r="A1729" s="241"/>
      <c r="B1729" s="243"/>
      <c r="C1729" s="241"/>
      <c r="D1729" s="241"/>
      <c r="E1729" s="241"/>
    </row>
    <row r="1730" spans="1:5" customFormat="1" ht="24.95" customHeight="1" x14ac:dyDescent="0.25">
      <c r="A1730" s="241"/>
      <c r="B1730" s="243"/>
      <c r="C1730" s="241"/>
      <c r="D1730" s="241"/>
      <c r="E1730" s="241"/>
    </row>
    <row r="1731" spans="1:5" customFormat="1" ht="24.95" customHeight="1" x14ac:dyDescent="0.25">
      <c r="A1731" s="241"/>
      <c r="B1731" s="243"/>
      <c r="C1731" s="241"/>
      <c r="D1731" s="241"/>
      <c r="E1731" s="241"/>
    </row>
    <row r="1732" spans="1:5" customFormat="1" ht="24.95" customHeight="1" x14ac:dyDescent="0.25">
      <c r="A1732" s="241"/>
      <c r="B1732" s="243"/>
      <c r="C1732" s="241"/>
      <c r="D1732" s="241"/>
      <c r="E1732" s="241"/>
    </row>
    <row r="1733" spans="1:5" customFormat="1" ht="24.95" customHeight="1" x14ac:dyDescent="0.25">
      <c r="A1733" s="241"/>
      <c r="B1733" s="243"/>
      <c r="C1733" s="241"/>
      <c r="D1733" s="241"/>
      <c r="E1733" s="241"/>
    </row>
    <row r="1734" spans="1:5" customFormat="1" ht="24.95" customHeight="1" x14ac:dyDescent="0.25">
      <c r="A1734" s="241"/>
      <c r="B1734" s="243"/>
      <c r="C1734" s="241"/>
      <c r="D1734" s="241"/>
      <c r="E1734" s="241"/>
    </row>
    <row r="1735" spans="1:5" customFormat="1" ht="24.95" customHeight="1" x14ac:dyDescent="0.25">
      <c r="A1735" s="241"/>
      <c r="B1735" s="243"/>
      <c r="C1735" s="241"/>
      <c r="D1735" s="241"/>
      <c r="E1735" s="241"/>
    </row>
    <row r="1736" spans="1:5" customFormat="1" ht="24.95" customHeight="1" x14ac:dyDescent="0.25">
      <c r="A1736" s="241"/>
      <c r="B1736" s="243"/>
      <c r="C1736" s="241"/>
      <c r="D1736" s="241"/>
      <c r="E1736" s="241"/>
    </row>
    <row r="1737" spans="1:5" customFormat="1" ht="24.95" customHeight="1" x14ac:dyDescent="0.25">
      <c r="A1737" s="241"/>
      <c r="B1737" s="243"/>
      <c r="C1737" s="241"/>
      <c r="D1737" s="241"/>
      <c r="E1737" s="241"/>
    </row>
    <row r="1738" spans="1:5" customFormat="1" ht="24.95" customHeight="1" x14ac:dyDescent="0.25">
      <c r="A1738" s="241"/>
      <c r="B1738" s="243"/>
      <c r="C1738" s="241"/>
      <c r="D1738" s="241"/>
      <c r="E1738" s="241"/>
    </row>
    <row r="1739" spans="1:5" customFormat="1" ht="24.95" customHeight="1" x14ac:dyDescent="0.25">
      <c r="A1739" s="241"/>
      <c r="B1739" s="243"/>
      <c r="C1739" s="241"/>
      <c r="D1739" s="241"/>
      <c r="E1739" s="241"/>
    </row>
    <row r="1740" spans="1:5" customFormat="1" ht="24.95" customHeight="1" x14ac:dyDescent="0.25">
      <c r="A1740" s="241"/>
      <c r="B1740" s="243"/>
      <c r="C1740" s="241"/>
      <c r="D1740" s="241"/>
      <c r="E1740" s="241"/>
    </row>
    <row r="1741" spans="1:5" customFormat="1" ht="24.95" customHeight="1" x14ac:dyDescent="0.25">
      <c r="A1741" s="241"/>
      <c r="B1741" s="243"/>
      <c r="C1741" s="241"/>
      <c r="D1741" s="241"/>
      <c r="E1741" s="241"/>
    </row>
    <row r="1742" spans="1:5" customFormat="1" ht="24.95" customHeight="1" x14ac:dyDescent="0.25">
      <c r="A1742" s="241"/>
      <c r="B1742" s="243"/>
      <c r="C1742" s="241"/>
      <c r="D1742" s="241"/>
      <c r="E1742" s="241"/>
    </row>
    <row r="1743" spans="1:5" customFormat="1" ht="24.95" customHeight="1" x14ac:dyDescent="0.25">
      <c r="A1743" s="241"/>
      <c r="B1743" s="243"/>
      <c r="C1743" s="241"/>
      <c r="D1743" s="241"/>
      <c r="E1743" s="241"/>
    </row>
    <row r="1744" spans="1:5" customFormat="1" ht="24.95" customHeight="1" x14ac:dyDescent="0.25">
      <c r="A1744" s="241"/>
      <c r="B1744" s="243"/>
      <c r="C1744" s="241"/>
      <c r="D1744" s="241"/>
      <c r="E1744" s="241"/>
    </row>
    <row r="1745" spans="1:5" customFormat="1" ht="24.95" customHeight="1" x14ac:dyDescent="0.25">
      <c r="A1745" s="241"/>
      <c r="B1745" s="243"/>
      <c r="C1745" s="241"/>
      <c r="D1745" s="241"/>
      <c r="E1745" s="241"/>
    </row>
    <row r="1746" spans="1:5" customFormat="1" ht="24.95" customHeight="1" x14ac:dyDescent="0.25">
      <c r="A1746" s="241"/>
      <c r="B1746" s="243"/>
      <c r="C1746" s="241"/>
      <c r="D1746" s="241"/>
      <c r="E1746" s="241"/>
    </row>
    <row r="1747" spans="1:5" customFormat="1" ht="24.95" customHeight="1" x14ac:dyDescent="0.25">
      <c r="A1747" s="241"/>
      <c r="B1747" s="243"/>
      <c r="C1747" s="241"/>
      <c r="D1747" s="241"/>
      <c r="E1747" s="241"/>
    </row>
    <row r="1748" spans="1:5" customFormat="1" ht="24.95" customHeight="1" x14ac:dyDescent="0.25">
      <c r="A1748" s="241"/>
      <c r="B1748" s="243"/>
      <c r="C1748" s="241"/>
      <c r="D1748" s="241"/>
      <c r="E1748" s="241"/>
    </row>
    <row r="1749" spans="1:5" customFormat="1" ht="24.95" customHeight="1" x14ac:dyDescent="0.25">
      <c r="A1749" s="241"/>
      <c r="B1749" s="243"/>
      <c r="C1749" s="241"/>
      <c r="D1749" s="241"/>
      <c r="E1749" s="241"/>
    </row>
    <row r="1750" spans="1:5" customFormat="1" ht="24.95" customHeight="1" x14ac:dyDescent="0.25">
      <c r="A1750" s="241"/>
      <c r="B1750" s="243"/>
      <c r="C1750" s="241"/>
      <c r="D1750" s="241"/>
      <c r="E1750" s="241"/>
    </row>
    <row r="1751" spans="1:5" customFormat="1" ht="24.95" customHeight="1" x14ac:dyDescent="0.25">
      <c r="A1751" s="241"/>
      <c r="B1751" s="243"/>
      <c r="C1751" s="241"/>
      <c r="D1751" s="241"/>
      <c r="E1751" s="241"/>
    </row>
    <row r="1752" spans="1:5" customFormat="1" ht="24.95" customHeight="1" x14ac:dyDescent="0.25">
      <c r="A1752" s="241"/>
      <c r="B1752" s="243"/>
      <c r="C1752" s="241"/>
      <c r="D1752" s="241"/>
      <c r="E1752" s="241"/>
    </row>
    <row r="1753" spans="1:5" customFormat="1" ht="24.95" customHeight="1" x14ac:dyDescent="0.25">
      <c r="A1753" s="241"/>
      <c r="B1753" s="243"/>
      <c r="C1753" s="241"/>
      <c r="D1753" s="241"/>
      <c r="E1753" s="241"/>
    </row>
    <row r="1754" spans="1:5" customFormat="1" ht="24.95" customHeight="1" x14ac:dyDescent="0.25">
      <c r="A1754" s="241"/>
      <c r="B1754" s="243"/>
      <c r="C1754" s="241"/>
      <c r="D1754" s="241"/>
      <c r="E1754" s="241"/>
    </row>
    <row r="1755" spans="1:5" customFormat="1" ht="24.95" customHeight="1" x14ac:dyDescent="0.25">
      <c r="A1755" s="241"/>
      <c r="B1755" s="243"/>
      <c r="C1755" s="241"/>
      <c r="D1755" s="241"/>
      <c r="E1755" s="241"/>
    </row>
    <row r="1756" spans="1:5" customFormat="1" ht="24.95" customHeight="1" x14ac:dyDescent="0.25">
      <c r="A1756" s="241"/>
      <c r="B1756" s="243"/>
      <c r="C1756" s="241"/>
      <c r="D1756" s="241"/>
      <c r="E1756" s="241"/>
    </row>
    <row r="1757" spans="1:5" customFormat="1" ht="24.95" customHeight="1" x14ac:dyDescent="0.25">
      <c r="A1757" s="241"/>
      <c r="B1757" s="243"/>
      <c r="C1757" s="241"/>
      <c r="D1757" s="241"/>
      <c r="E1757" s="241"/>
    </row>
    <row r="1758" spans="1:5" customFormat="1" ht="24.95" customHeight="1" x14ac:dyDescent="0.25">
      <c r="A1758" s="241"/>
      <c r="B1758" s="243"/>
      <c r="C1758" s="241"/>
      <c r="D1758" s="241"/>
      <c r="E1758" s="241"/>
    </row>
    <row r="1759" spans="1:5" customFormat="1" ht="24.95" customHeight="1" x14ac:dyDescent="0.25">
      <c r="A1759" s="241"/>
      <c r="B1759" s="243"/>
      <c r="C1759" s="241"/>
      <c r="D1759" s="241"/>
      <c r="E1759" s="241"/>
    </row>
    <row r="1760" spans="1:5" customFormat="1" ht="24.95" customHeight="1" x14ac:dyDescent="0.25">
      <c r="A1760" s="241"/>
      <c r="B1760" s="243"/>
      <c r="C1760" s="241"/>
      <c r="D1760" s="241"/>
      <c r="E1760" s="241"/>
    </row>
    <row r="1761" spans="1:5" customFormat="1" ht="24.95" customHeight="1" x14ac:dyDescent="0.25">
      <c r="A1761" s="241"/>
      <c r="B1761" s="243"/>
      <c r="C1761" s="241"/>
      <c r="D1761" s="241"/>
      <c r="E1761" s="241"/>
    </row>
    <row r="1762" spans="1:5" customFormat="1" ht="24.95" customHeight="1" x14ac:dyDescent="0.25">
      <c r="A1762" s="241"/>
      <c r="B1762" s="243"/>
      <c r="C1762" s="241"/>
      <c r="D1762" s="241"/>
      <c r="E1762" s="241"/>
    </row>
    <row r="1763" spans="1:5" customFormat="1" ht="24.95" customHeight="1" x14ac:dyDescent="0.25">
      <c r="A1763" s="241"/>
      <c r="B1763" s="243"/>
      <c r="C1763" s="241"/>
      <c r="D1763" s="241"/>
      <c r="E1763" s="241"/>
    </row>
    <row r="1764" spans="1:5" customFormat="1" ht="24.95" customHeight="1" x14ac:dyDescent="0.25">
      <c r="A1764" s="241"/>
      <c r="B1764" s="243"/>
      <c r="C1764" s="241"/>
      <c r="D1764" s="241"/>
      <c r="E1764" s="241"/>
    </row>
    <row r="1765" spans="1:5" customFormat="1" ht="24.95" customHeight="1" x14ac:dyDescent="0.25">
      <c r="A1765" s="241"/>
      <c r="B1765" s="243"/>
      <c r="C1765" s="241"/>
      <c r="D1765" s="241"/>
      <c r="E1765" s="241"/>
    </row>
    <row r="1766" spans="1:5" customFormat="1" ht="24.95" customHeight="1" x14ac:dyDescent="0.25">
      <c r="A1766" s="241"/>
      <c r="B1766" s="243"/>
      <c r="C1766" s="241"/>
      <c r="D1766" s="241"/>
      <c r="E1766" s="241"/>
    </row>
    <row r="1767" spans="1:5" customFormat="1" ht="24.95" customHeight="1" x14ac:dyDescent="0.25">
      <c r="A1767" s="241"/>
      <c r="B1767" s="243"/>
      <c r="C1767" s="241"/>
      <c r="D1767" s="241"/>
      <c r="E1767" s="241"/>
    </row>
    <row r="1768" spans="1:5" customFormat="1" ht="24.95" customHeight="1" x14ac:dyDescent="0.25">
      <c r="A1768" s="241"/>
      <c r="B1768" s="243"/>
      <c r="C1768" s="241"/>
      <c r="D1768" s="241"/>
      <c r="E1768" s="241"/>
    </row>
    <row r="1769" spans="1:5" customFormat="1" ht="24.95" customHeight="1" x14ac:dyDescent="0.25">
      <c r="A1769" s="241"/>
      <c r="B1769" s="243"/>
      <c r="C1769" s="241"/>
      <c r="D1769" s="241"/>
      <c r="E1769" s="241"/>
    </row>
    <row r="1770" spans="1:5" customFormat="1" ht="24.95" customHeight="1" x14ac:dyDescent="0.25">
      <c r="A1770" s="241"/>
      <c r="B1770" s="243"/>
      <c r="C1770" s="241"/>
      <c r="D1770" s="241"/>
      <c r="E1770" s="241"/>
    </row>
    <row r="1771" spans="1:5" customFormat="1" ht="24.95" customHeight="1" x14ac:dyDescent="0.25">
      <c r="A1771" s="241"/>
      <c r="B1771" s="243"/>
      <c r="C1771" s="241"/>
      <c r="D1771" s="241"/>
      <c r="E1771" s="241"/>
    </row>
    <row r="1772" spans="1:5" customFormat="1" ht="24.95" customHeight="1" x14ac:dyDescent="0.25">
      <c r="A1772" s="241"/>
      <c r="B1772" s="243"/>
      <c r="C1772" s="241"/>
      <c r="D1772" s="241"/>
      <c r="E1772" s="241"/>
    </row>
    <row r="1773" spans="1:5" customFormat="1" ht="24.95" customHeight="1" x14ac:dyDescent="0.25">
      <c r="A1773" s="241"/>
      <c r="B1773" s="243"/>
      <c r="C1773" s="241"/>
      <c r="D1773" s="241"/>
      <c r="E1773" s="241"/>
    </row>
    <row r="1774" spans="1:5" customFormat="1" ht="24.95" customHeight="1" x14ac:dyDescent="0.25">
      <c r="A1774" s="241"/>
      <c r="B1774" s="243"/>
      <c r="C1774" s="241"/>
      <c r="D1774" s="241"/>
      <c r="E1774" s="241"/>
    </row>
    <row r="1775" spans="1:5" customFormat="1" ht="24.95" customHeight="1" x14ac:dyDescent="0.25">
      <c r="A1775" s="241"/>
      <c r="B1775" s="243"/>
      <c r="C1775" s="241"/>
      <c r="D1775" s="241"/>
      <c r="E1775" s="241"/>
    </row>
    <row r="1776" spans="1:5" customFormat="1" ht="24.95" customHeight="1" x14ac:dyDescent="0.25">
      <c r="A1776" s="241"/>
      <c r="B1776" s="243"/>
      <c r="C1776" s="241"/>
      <c r="D1776" s="241"/>
      <c r="E1776" s="241"/>
    </row>
    <row r="1777" spans="1:5" customFormat="1" ht="24.95" customHeight="1" x14ac:dyDescent="0.25">
      <c r="A1777" s="241"/>
      <c r="B1777" s="243"/>
      <c r="C1777" s="241"/>
      <c r="D1777" s="241"/>
      <c r="E1777" s="241"/>
    </row>
    <row r="1778" spans="1:5" customFormat="1" ht="24.95" customHeight="1" x14ac:dyDescent="0.25">
      <c r="A1778" s="241"/>
      <c r="B1778" s="243"/>
      <c r="C1778" s="241"/>
      <c r="D1778" s="241"/>
      <c r="E1778" s="241"/>
    </row>
    <row r="1779" spans="1:5" customFormat="1" ht="24.95" customHeight="1" x14ac:dyDescent="0.25">
      <c r="A1779" s="241"/>
      <c r="B1779" s="243"/>
      <c r="C1779" s="241"/>
      <c r="D1779" s="241"/>
      <c r="E1779" s="241"/>
    </row>
    <row r="1780" spans="1:5" customFormat="1" ht="24.95" customHeight="1" x14ac:dyDescent="0.25">
      <c r="A1780" s="241"/>
      <c r="B1780" s="243"/>
      <c r="C1780" s="241"/>
      <c r="D1780" s="241"/>
      <c r="E1780" s="241"/>
    </row>
    <row r="1781" spans="1:5" customFormat="1" ht="24.95" customHeight="1" x14ac:dyDescent="0.25">
      <c r="A1781" s="241"/>
      <c r="B1781" s="243"/>
      <c r="C1781" s="241"/>
      <c r="D1781" s="241"/>
      <c r="E1781" s="241"/>
    </row>
    <row r="1782" spans="1:5" customFormat="1" ht="24.95" customHeight="1" x14ac:dyDescent="0.25">
      <c r="A1782" s="241"/>
      <c r="B1782" s="243"/>
      <c r="C1782" s="241"/>
      <c r="D1782" s="241"/>
      <c r="E1782" s="241"/>
    </row>
    <row r="1783" spans="1:5" customFormat="1" ht="24.95" customHeight="1" x14ac:dyDescent="0.25">
      <c r="A1783" s="241"/>
      <c r="B1783" s="243"/>
      <c r="C1783" s="241"/>
      <c r="D1783" s="241"/>
      <c r="E1783" s="241"/>
    </row>
    <row r="1784" spans="1:5" customFormat="1" ht="24.95" customHeight="1" x14ac:dyDescent="0.25">
      <c r="A1784" s="241"/>
      <c r="B1784" s="243"/>
      <c r="C1784" s="241"/>
      <c r="D1784" s="241"/>
      <c r="E1784" s="241"/>
    </row>
    <row r="1785" spans="1:5" customFormat="1" ht="24.95" customHeight="1" x14ac:dyDescent="0.25">
      <c r="A1785" s="241"/>
      <c r="B1785" s="243"/>
      <c r="C1785" s="241"/>
      <c r="D1785" s="241"/>
      <c r="E1785" s="241"/>
    </row>
    <row r="1786" spans="1:5" customFormat="1" ht="24.95" customHeight="1" x14ac:dyDescent="0.25">
      <c r="A1786" s="241"/>
      <c r="B1786" s="243"/>
      <c r="C1786" s="241"/>
      <c r="D1786" s="241"/>
      <c r="E1786" s="241"/>
    </row>
    <row r="1787" spans="1:5" customFormat="1" ht="24.95" customHeight="1" x14ac:dyDescent="0.25">
      <c r="A1787" s="241"/>
      <c r="B1787" s="243"/>
      <c r="C1787" s="241"/>
      <c r="D1787" s="241"/>
      <c r="E1787" s="241"/>
    </row>
    <row r="1788" spans="1:5" customFormat="1" ht="24.95" customHeight="1" x14ac:dyDescent="0.25">
      <c r="A1788" s="241"/>
      <c r="B1788" s="243"/>
      <c r="C1788" s="241"/>
      <c r="D1788" s="241"/>
      <c r="E1788" s="241"/>
    </row>
    <row r="1789" spans="1:5" customFormat="1" ht="24.95" customHeight="1" x14ac:dyDescent="0.25">
      <c r="A1789" s="241"/>
      <c r="B1789" s="243"/>
      <c r="C1789" s="241"/>
      <c r="D1789" s="241"/>
      <c r="E1789" s="241"/>
    </row>
    <row r="1790" spans="1:5" customFormat="1" ht="24.95" customHeight="1" x14ac:dyDescent="0.25">
      <c r="A1790" s="241"/>
      <c r="B1790" s="243"/>
      <c r="C1790" s="241"/>
      <c r="D1790" s="241"/>
      <c r="E1790" s="241"/>
    </row>
    <row r="1791" spans="1:5" customFormat="1" ht="24.95" customHeight="1" x14ac:dyDescent="0.25">
      <c r="A1791" s="241"/>
      <c r="B1791" s="243"/>
      <c r="C1791" s="241"/>
      <c r="D1791" s="241"/>
      <c r="E1791" s="241"/>
    </row>
    <row r="1792" spans="1:5" customFormat="1" ht="24.95" customHeight="1" x14ac:dyDescent="0.25">
      <c r="A1792" s="241"/>
      <c r="B1792" s="243"/>
      <c r="C1792" s="241"/>
      <c r="D1792" s="241"/>
      <c r="E1792" s="241"/>
    </row>
    <row r="1793" spans="1:5" customFormat="1" ht="24.95" customHeight="1" x14ac:dyDescent="0.25">
      <c r="A1793" s="241"/>
      <c r="B1793" s="243"/>
      <c r="C1793" s="241"/>
      <c r="D1793" s="241"/>
      <c r="E1793" s="241"/>
    </row>
    <row r="1794" spans="1:5" customFormat="1" ht="24.95" customHeight="1" x14ac:dyDescent="0.25">
      <c r="A1794" s="241"/>
      <c r="B1794" s="243"/>
      <c r="C1794" s="241"/>
      <c r="D1794" s="241"/>
      <c r="E1794" s="241"/>
    </row>
    <row r="1795" spans="1:5" customFormat="1" ht="24.95" customHeight="1" x14ac:dyDescent="0.25">
      <c r="A1795" s="241"/>
      <c r="B1795" s="243"/>
      <c r="C1795" s="241"/>
      <c r="D1795" s="241"/>
      <c r="E1795" s="241"/>
    </row>
    <row r="1796" spans="1:5" customFormat="1" ht="24.95" customHeight="1" x14ac:dyDescent="0.25">
      <c r="A1796" s="241"/>
      <c r="B1796" s="243"/>
      <c r="C1796" s="241"/>
      <c r="D1796" s="241"/>
      <c r="E1796" s="241"/>
    </row>
    <row r="1797" spans="1:5" customFormat="1" ht="24.95" customHeight="1" x14ac:dyDescent="0.25">
      <c r="A1797" s="241"/>
      <c r="B1797" s="243"/>
      <c r="C1797" s="241"/>
      <c r="D1797" s="241"/>
      <c r="E1797" s="241"/>
    </row>
    <row r="1798" spans="1:5" customFormat="1" ht="24.95" customHeight="1" x14ac:dyDescent="0.25">
      <c r="A1798" s="241"/>
      <c r="B1798" s="243"/>
      <c r="C1798" s="241"/>
      <c r="D1798" s="241"/>
      <c r="E1798" s="241"/>
    </row>
    <row r="1799" spans="1:5" customFormat="1" ht="24.95" customHeight="1" x14ac:dyDescent="0.25">
      <c r="A1799" s="241"/>
      <c r="B1799" s="243"/>
      <c r="C1799" s="241"/>
      <c r="D1799" s="241"/>
      <c r="E1799" s="241"/>
    </row>
    <row r="1800" spans="1:5" customFormat="1" ht="24.95" customHeight="1" x14ac:dyDescent="0.25">
      <c r="A1800" s="241"/>
      <c r="B1800" s="243"/>
      <c r="C1800" s="241"/>
      <c r="D1800" s="241"/>
      <c r="E1800" s="241"/>
    </row>
    <row r="1801" spans="1:5" customFormat="1" ht="24.95" customHeight="1" x14ac:dyDescent="0.25">
      <c r="A1801" s="241"/>
      <c r="B1801" s="243"/>
      <c r="C1801" s="241"/>
      <c r="D1801" s="241"/>
      <c r="E1801" s="241"/>
    </row>
    <row r="1802" spans="1:5" customFormat="1" ht="24.95" customHeight="1" x14ac:dyDescent="0.25">
      <c r="A1802" s="241"/>
      <c r="B1802" s="243"/>
      <c r="C1802" s="241"/>
      <c r="D1802" s="241"/>
      <c r="E1802" s="241"/>
    </row>
    <row r="1803" spans="1:5" customFormat="1" ht="24.95" customHeight="1" x14ac:dyDescent="0.25">
      <c r="A1803" s="241"/>
      <c r="B1803" s="243"/>
      <c r="C1803" s="241"/>
      <c r="D1803" s="241"/>
      <c r="E1803" s="241"/>
    </row>
    <row r="1804" spans="1:5" customFormat="1" ht="24.95" customHeight="1" x14ac:dyDescent="0.25">
      <c r="A1804" s="241"/>
      <c r="B1804" s="243"/>
      <c r="C1804" s="241"/>
      <c r="D1804" s="241"/>
      <c r="E1804" s="241"/>
    </row>
    <row r="1805" spans="1:5" customFormat="1" ht="24.95" customHeight="1" x14ac:dyDescent="0.25">
      <c r="A1805" s="241"/>
      <c r="B1805" s="243"/>
      <c r="C1805" s="241"/>
      <c r="D1805" s="241"/>
      <c r="E1805" s="241"/>
    </row>
    <row r="1806" spans="1:5" customFormat="1" ht="24.95" customHeight="1" x14ac:dyDescent="0.25">
      <c r="A1806" s="241"/>
      <c r="B1806" s="243"/>
      <c r="C1806" s="241"/>
      <c r="D1806" s="241"/>
      <c r="E1806" s="241"/>
    </row>
    <row r="1807" spans="1:5" customFormat="1" ht="24.95" customHeight="1" x14ac:dyDescent="0.25">
      <c r="A1807" s="241"/>
      <c r="B1807" s="243"/>
      <c r="C1807" s="241"/>
      <c r="D1807" s="241"/>
      <c r="E1807" s="241"/>
    </row>
    <row r="1808" spans="1:5" customFormat="1" ht="24.95" customHeight="1" x14ac:dyDescent="0.25">
      <c r="A1808" s="241"/>
      <c r="B1808" s="243"/>
      <c r="C1808" s="241"/>
      <c r="D1808" s="241"/>
      <c r="E1808" s="241"/>
    </row>
    <row r="1809" spans="1:5" customFormat="1" ht="24.95" customHeight="1" x14ac:dyDescent="0.25">
      <c r="A1809" s="241"/>
      <c r="B1809" s="243"/>
      <c r="C1809" s="241"/>
      <c r="D1809" s="241"/>
      <c r="E1809" s="241"/>
    </row>
    <row r="1810" spans="1:5" customFormat="1" ht="24.95" customHeight="1" x14ac:dyDescent="0.25">
      <c r="A1810" s="241"/>
      <c r="B1810" s="243"/>
      <c r="C1810" s="241"/>
      <c r="D1810" s="241"/>
      <c r="E1810" s="241"/>
    </row>
    <row r="1811" spans="1:5" customFormat="1" ht="24.95" customHeight="1" x14ac:dyDescent="0.25">
      <c r="A1811" s="241"/>
      <c r="B1811" s="243"/>
      <c r="C1811" s="241"/>
      <c r="D1811" s="241"/>
      <c r="E1811" s="241"/>
    </row>
    <row r="1812" spans="1:5" customFormat="1" ht="24.95" customHeight="1" x14ac:dyDescent="0.25">
      <c r="A1812" s="241"/>
      <c r="B1812" s="243"/>
      <c r="C1812" s="241"/>
      <c r="D1812" s="241"/>
      <c r="E1812" s="241"/>
    </row>
    <row r="1813" spans="1:5" customFormat="1" ht="24.95" customHeight="1" x14ac:dyDescent="0.25">
      <c r="A1813" s="241"/>
      <c r="B1813" s="243"/>
      <c r="C1813" s="241"/>
      <c r="D1813" s="241"/>
      <c r="E1813" s="241"/>
    </row>
    <row r="1814" spans="1:5" customFormat="1" ht="24.95" customHeight="1" x14ac:dyDescent="0.25">
      <c r="A1814" s="241"/>
      <c r="B1814" s="243"/>
      <c r="C1814" s="241"/>
      <c r="D1814" s="241"/>
      <c r="E1814" s="241"/>
    </row>
    <row r="1815" spans="1:5" customFormat="1" ht="24.95" customHeight="1" x14ac:dyDescent="0.25">
      <c r="A1815" s="241"/>
      <c r="B1815" s="243"/>
      <c r="C1815" s="241"/>
      <c r="D1815" s="241"/>
      <c r="E1815" s="241"/>
    </row>
    <row r="1816" spans="1:5" customFormat="1" ht="24.95" customHeight="1" x14ac:dyDescent="0.25">
      <c r="A1816" s="241"/>
      <c r="B1816" s="243"/>
      <c r="C1816" s="241"/>
      <c r="D1816" s="241"/>
      <c r="E1816" s="241"/>
    </row>
    <row r="1817" spans="1:5" customFormat="1" ht="24.95" customHeight="1" x14ac:dyDescent="0.25">
      <c r="A1817" s="241"/>
      <c r="B1817" s="243"/>
      <c r="C1817" s="241"/>
      <c r="D1817" s="241"/>
      <c r="E1817" s="241"/>
    </row>
    <row r="1818" spans="1:5" customFormat="1" ht="24.95" customHeight="1" x14ac:dyDescent="0.25">
      <c r="A1818" s="241"/>
      <c r="B1818" s="243"/>
      <c r="C1818" s="241"/>
      <c r="D1818" s="241"/>
      <c r="E1818" s="241"/>
    </row>
    <row r="1819" spans="1:5" customFormat="1" ht="24.95" customHeight="1" x14ac:dyDescent="0.25">
      <c r="A1819" s="241"/>
      <c r="B1819" s="243"/>
      <c r="C1819" s="241"/>
      <c r="D1819" s="241"/>
      <c r="E1819" s="241"/>
    </row>
    <row r="1820" spans="1:5" customFormat="1" ht="24.95" customHeight="1" x14ac:dyDescent="0.25">
      <c r="A1820" s="241"/>
      <c r="B1820" s="243"/>
      <c r="C1820" s="241"/>
      <c r="D1820" s="241"/>
      <c r="E1820" s="241"/>
    </row>
    <row r="1821" spans="1:5" customFormat="1" ht="24.95" customHeight="1" x14ac:dyDescent="0.25">
      <c r="A1821" s="241"/>
      <c r="B1821" s="243"/>
      <c r="C1821" s="241"/>
      <c r="D1821" s="241"/>
      <c r="E1821" s="241"/>
    </row>
    <row r="1822" spans="1:5" customFormat="1" ht="24.95" customHeight="1" x14ac:dyDescent="0.25">
      <c r="A1822" s="241"/>
      <c r="B1822" s="243"/>
      <c r="C1822" s="241"/>
      <c r="D1822" s="241"/>
      <c r="E1822" s="241"/>
    </row>
    <row r="1823" spans="1:5" customFormat="1" ht="24.95" customHeight="1" x14ac:dyDescent="0.25">
      <c r="A1823" s="241"/>
      <c r="B1823" s="243"/>
      <c r="C1823" s="241"/>
      <c r="D1823" s="241"/>
      <c r="E1823" s="241"/>
    </row>
    <row r="1824" spans="1:5" customFormat="1" ht="24.95" customHeight="1" x14ac:dyDescent="0.25">
      <c r="A1824" s="241"/>
      <c r="B1824" s="243"/>
      <c r="C1824" s="241"/>
      <c r="D1824" s="241"/>
      <c r="E1824" s="241"/>
    </row>
    <row r="1825" spans="1:5" customFormat="1" ht="24.95" customHeight="1" x14ac:dyDescent="0.25">
      <c r="A1825" s="241"/>
      <c r="B1825" s="243"/>
      <c r="C1825" s="241"/>
      <c r="D1825" s="241"/>
      <c r="E1825" s="241"/>
    </row>
    <row r="1826" spans="1:5" customFormat="1" ht="24.95" customHeight="1" x14ac:dyDescent="0.25">
      <c r="A1826" s="241"/>
      <c r="B1826" s="243"/>
      <c r="C1826" s="241"/>
      <c r="D1826" s="241"/>
      <c r="E1826" s="241"/>
    </row>
    <row r="1827" spans="1:5" customFormat="1" ht="24.95" customHeight="1" x14ac:dyDescent="0.25">
      <c r="A1827" s="241"/>
      <c r="B1827" s="243"/>
      <c r="C1827" s="241"/>
      <c r="D1827" s="241"/>
      <c r="E1827" s="241"/>
    </row>
    <row r="1828" spans="1:5" customFormat="1" ht="24.95" customHeight="1" x14ac:dyDescent="0.25">
      <c r="A1828" s="241"/>
      <c r="B1828" s="243"/>
      <c r="C1828" s="241"/>
      <c r="D1828" s="241"/>
      <c r="E1828" s="241"/>
    </row>
    <row r="1829" spans="1:5" customFormat="1" ht="24.95" customHeight="1" x14ac:dyDescent="0.25">
      <c r="A1829" s="241"/>
      <c r="B1829" s="243"/>
      <c r="C1829" s="241"/>
      <c r="D1829" s="241"/>
      <c r="E1829" s="241"/>
    </row>
    <row r="1830" spans="1:5" customFormat="1" ht="24.95" customHeight="1" x14ac:dyDescent="0.25">
      <c r="A1830" s="241"/>
      <c r="B1830" s="243"/>
      <c r="C1830" s="241"/>
      <c r="D1830" s="241"/>
      <c r="E1830" s="241"/>
    </row>
    <row r="1831" spans="1:5" customFormat="1" ht="24.95" customHeight="1" x14ac:dyDescent="0.25">
      <c r="A1831" s="241"/>
      <c r="B1831" s="243"/>
      <c r="C1831" s="241"/>
      <c r="D1831" s="241"/>
      <c r="E1831" s="241"/>
    </row>
    <row r="1832" spans="1:5" customFormat="1" ht="24.95" customHeight="1" x14ac:dyDescent="0.25">
      <c r="A1832" s="241"/>
      <c r="B1832" s="243"/>
      <c r="C1832" s="241"/>
      <c r="D1832" s="241"/>
      <c r="E1832" s="241"/>
    </row>
    <row r="1833" spans="1:5" customFormat="1" ht="24.95" customHeight="1" x14ac:dyDescent="0.25">
      <c r="A1833" s="241"/>
      <c r="B1833" s="243"/>
      <c r="C1833" s="241"/>
      <c r="D1833" s="241"/>
      <c r="E1833" s="241"/>
    </row>
    <row r="1834" spans="1:5" customFormat="1" ht="24.95" customHeight="1" x14ac:dyDescent="0.25">
      <c r="A1834" s="241"/>
      <c r="B1834" s="243"/>
      <c r="C1834" s="241"/>
      <c r="D1834" s="241"/>
      <c r="E1834" s="241"/>
    </row>
    <row r="1835" spans="1:5" customFormat="1" ht="24.95" customHeight="1" x14ac:dyDescent="0.25">
      <c r="A1835" s="241"/>
      <c r="B1835" s="243"/>
      <c r="C1835" s="241"/>
      <c r="D1835" s="241"/>
      <c r="E1835" s="241"/>
    </row>
    <row r="1836" spans="1:5" customFormat="1" ht="24.95" customHeight="1" x14ac:dyDescent="0.25">
      <c r="A1836" s="241"/>
      <c r="B1836" s="243"/>
      <c r="C1836" s="241"/>
      <c r="D1836" s="241"/>
      <c r="E1836" s="241"/>
    </row>
    <row r="1837" spans="1:5" customFormat="1" ht="24.95" customHeight="1" x14ac:dyDescent="0.25">
      <c r="A1837" s="241"/>
      <c r="B1837" s="243"/>
      <c r="C1837" s="241"/>
      <c r="D1837" s="241"/>
      <c r="E1837" s="241"/>
    </row>
    <row r="1838" spans="1:5" customFormat="1" ht="24.95" customHeight="1" x14ac:dyDescent="0.25">
      <c r="A1838" s="241"/>
      <c r="B1838" s="243"/>
      <c r="C1838" s="241"/>
      <c r="D1838" s="241"/>
      <c r="E1838" s="241"/>
    </row>
    <row r="1839" spans="1:5" customFormat="1" ht="24.95" customHeight="1" x14ac:dyDescent="0.25">
      <c r="A1839" s="241"/>
      <c r="B1839" s="243"/>
      <c r="C1839" s="241"/>
      <c r="D1839" s="241"/>
      <c r="E1839" s="241"/>
    </row>
    <row r="1840" spans="1:5" customFormat="1" ht="24.95" customHeight="1" x14ac:dyDescent="0.25">
      <c r="A1840" s="241"/>
      <c r="B1840" s="243"/>
      <c r="C1840" s="241"/>
      <c r="D1840" s="241"/>
      <c r="E1840" s="241"/>
    </row>
    <row r="1841" spans="1:5" customFormat="1" ht="24.95" customHeight="1" x14ac:dyDescent="0.25">
      <c r="A1841" s="241"/>
      <c r="B1841" s="243"/>
      <c r="C1841" s="241"/>
      <c r="D1841" s="241"/>
      <c r="E1841" s="241"/>
    </row>
    <row r="1842" spans="1:5" customFormat="1" ht="24.95" customHeight="1" x14ac:dyDescent="0.25">
      <c r="A1842" s="241"/>
      <c r="B1842" s="243"/>
      <c r="C1842" s="241"/>
      <c r="D1842" s="241"/>
      <c r="E1842" s="241"/>
    </row>
    <row r="1843" spans="1:5" customFormat="1" ht="24.95" customHeight="1" x14ac:dyDescent="0.25">
      <c r="A1843" s="241"/>
      <c r="B1843" s="243"/>
      <c r="C1843" s="241"/>
      <c r="D1843" s="241"/>
      <c r="E1843" s="241"/>
    </row>
    <row r="1844" spans="1:5" customFormat="1" ht="24.95" customHeight="1" x14ac:dyDescent="0.25">
      <c r="A1844" s="241"/>
      <c r="B1844" s="243"/>
      <c r="C1844" s="241"/>
      <c r="D1844" s="241"/>
      <c r="E1844" s="241"/>
    </row>
    <row r="1845" spans="1:5" customFormat="1" ht="24.95" customHeight="1" x14ac:dyDescent="0.25">
      <c r="A1845" s="241"/>
      <c r="B1845" s="243"/>
      <c r="C1845" s="241"/>
      <c r="D1845" s="241"/>
      <c r="E1845" s="241"/>
    </row>
    <row r="1846" spans="1:5" customFormat="1" ht="24.95" customHeight="1" x14ac:dyDescent="0.25">
      <c r="A1846" s="241"/>
      <c r="B1846" s="243"/>
      <c r="C1846" s="241"/>
      <c r="D1846" s="241"/>
      <c r="E1846" s="241"/>
    </row>
    <row r="1847" spans="1:5" customFormat="1" ht="24.95" customHeight="1" x14ac:dyDescent="0.25">
      <c r="A1847" s="241"/>
      <c r="B1847" s="243"/>
      <c r="C1847" s="241"/>
      <c r="D1847" s="241"/>
      <c r="E1847" s="241"/>
    </row>
    <row r="1848" spans="1:5" customFormat="1" ht="24.95" customHeight="1" x14ac:dyDescent="0.25">
      <c r="A1848" s="241"/>
      <c r="B1848" s="243"/>
      <c r="C1848" s="241"/>
      <c r="D1848" s="241"/>
      <c r="E1848" s="241"/>
    </row>
    <row r="1849" spans="1:5" customFormat="1" ht="24.95" customHeight="1" x14ac:dyDescent="0.25">
      <c r="A1849" s="241"/>
      <c r="B1849" s="243"/>
      <c r="C1849" s="241"/>
      <c r="D1849" s="241"/>
      <c r="E1849" s="241"/>
    </row>
    <row r="1850" spans="1:5" customFormat="1" ht="24.95" customHeight="1" x14ac:dyDescent="0.25">
      <c r="A1850" s="241"/>
      <c r="B1850" s="243"/>
      <c r="C1850" s="241"/>
      <c r="D1850" s="241"/>
      <c r="E1850" s="241"/>
    </row>
    <row r="1851" spans="1:5" customFormat="1" ht="24.95" customHeight="1" x14ac:dyDescent="0.25">
      <c r="A1851" s="241"/>
      <c r="B1851" s="243"/>
      <c r="C1851" s="241"/>
      <c r="D1851" s="241"/>
      <c r="E1851" s="241"/>
    </row>
    <row r="1852" spans="1:5" customFormat="1" ht="24.95" customHeight="1" x14ac:dyDescent="0.25">
      <c r="A1852" s="241"/>
      <c r="B1852" s="243"/>
      <c r="C1852" s="241"/>
      <c r="D1852" s="241"/>
      <c r="E1852" s="241"/>
    </row>
    <row r="1853" spans="1:5" customFormat="1" ht="24.95" customHeight="1" x14ac:dyDescent="0.25">
      <c r="A1853" s="241"/>
      <c r="B1853" s="243"/>
      <c r="C1853" s="241"/>
      <c r="D1853" s="241"/>
      <c r="E1853" s="241"/>
    </row>
    <row r="1854" spans="1:5" customFormat="1" ht="24.95" customHeight="1" x14ac:dyDescent="0.25">
      <c r="A1854" s="241"/>
      <c r="B1854" s="243"/>
      <c r="C1854" s="241"/>
      <c r="D1854" s="241"/>
      <c r="E1854" s="241"/>
    </row>
    <row r="1855" spans="1:5" customFormat="1" ht="24.95" customHeight="1" x14ac:dyDescent="0.25">
      <c r="A1855" s="241"/>
      <c r="B1855" s="243"/>
      <c r="C1855" s="241"/>
      <c r="D1855" s="241"/>
      <c r="E1855" s="241"/>
    </row>
    <row r="1856" spans="1:5" customFormat="1" ht="24.95" customHeight="1" x14ac:dyDescent="0.25">
      <c r="A1856" s="241"/>
      <c r="B1856" s="243"/>
      <c r="C1856" s="241"/>
      <c r="D1856" s="241"/>
      <c r="E1856" s="241"/>
    </row>
    <row r="1857" spans="1:5" customFormat="1" ht="24.95" customHeight="1" x14ac:dyDescent="0.25">
      <c r="A1857" s="241"/>
      <c r="B1857" s="243"/>
      <c r="C1857" s="241"/>
      <c r="D1857" s="241"/>
      <c r="E1857" s="241"/>
    </row>
    <row r="1858" spans="1:5" customFormat="1" ht="24.95" customHeight="1" x14ac:dyDescent="0.25">
      <c r="A1858" s="241"/>
      <c r="B1858" s="243"/>
      <c r="C1858" s="241"/>
      <c r="D1858" s="241"/>
      <c r="E1858" s="241"/>
    </row>
    <row r="1859" spans="1:5" customFormat="1" ht="24.95" customHeight="1" x14ac:dyDescent="0.25">
      <c r="A1859" s="241"/>
      <c r="B1859" s="243"/>
      <c r="C1859" s="241"/>
      <c r="D1859" s="241"/>
      <c r="E1859" s="241"/>
    </row>
    <row r="1860" spans="1:5" customFormat="1" ht="24.95" customHeight="1" x14ac:dyDescent="0.25">
      <c r="A1860" s="241"/>
      <c r="B1860" s="243"/>
      <c r="C1860" s="241"/>
      <c r="D1860" s="241"/>
      <c r="E1860" s="241"/>
    </row>
    <row r="1861" spans="1:5" customFormat="1" ht="24.95" customHeight="1" x14ac:dyDescent="0.25">
      <c r="A1861" s="241"/>
      <c r="B1861" s="243"/>
      <c r="C1861" s="241"/>
      <c r="D1861" s="241"/>
      <c r="E1861" s="241"/>
    </row>
    <row r="1862" spans="1:5" customFormat="1" ht="24.95" customHeight="1" x14ac:dyDescent="0.25">
      <c r="A1862" s="241"/>
      <c r="B1862" s="243"/>
      <c r="C1862" s="241"/>
      <c r="D1862" s="241"/>
      <c r="E1862" s="241"/>
    </row>
    <row r="1863" spans="1:5" customFormat="1" ht="24.95" customHeight="1" x14ac:dyDescent="0.25">
      <c r="A1863" s="241"/>
      <c r="B1863" s="243"/>
      <c r="C1863" s="241"/>
      <c r="D1863" s="241"/>
      <c r="E1863" s="241"/>
    </row>
    <row r="1864" spans="1:5" customFormat="1" ht="24.95" customHeight="1" x14ac:dyDescent="0.25">
      <c r="A1864" s="241"/>
      <c r="B1864" s="243"/>
      <c r="C1864" s="241"/>
      <c r="D1864" s="241"/>
      <c r="E1864" s="241"/>
    </row>
    <row r="1865" spans="1:5" customFormat="1" ht="24.95" customHeight="1" x14ac:dyDescent="0.25">
      <c r="A1865" s="241"/>
      <c r="B1865" s="243"/>
      <c r="C1865" s="241"/>
      <c r="D1865" s="241"/>
      <c r="E1865" s="241"/>
    </row>
    <row r="1866" spans="1:5" customFormat="1" ht="24.95" customHeight="1" x14ac:dyDescent="0.25">
      <c r="A1866" s="241"/>
      <c r="B1866" s="243"/>
      <c r="C1866" s="241"/>
      <c r="D1866" s="241"/>
      <c r="E1866" s="241"/>
    </row>
    <row r="1867" spans="1:5" customFormat="1" ht="24.95" customHeight="1" x14ac:dyDescent="0.25">
      <c r="A1867" s="241"/>
      <c r="B1867" s="243"/>
      <c r="C1867" s="241"/>
      <c r="D1867" s="241"/>
      <c r="E1867" s="241"/>
    </row>
    <row r="1868" spans="1:5" customFormat="1" ht="24.95" customHeight="1" x14ac:dyDescent="0.25">
      <c r="A1868" s="241"/>
      <c r="B1868" s="243"/>
      <c r="C1868" s="241"/>
      <c r="D1868" s="241"/>
      <c r="E1868" s="241"/>
    </row>
    <row r="1869" spans="1:5" customFormat="1" ht="24.95" customHeight="1" x14ac:dyDescent="0.25">
      <c r="A1869" s="241"/>
      <c r="B1869" s="243"/>
      <c r="C1869" s="241"/>
      <c r="D1869" s="241"/>
      <c r="E1869" s="241"/>
    </row>
    <row r="1870" spans="1:5" customFormat="1" ht="24.95" customHeight="1" x14ac:dyDescent="0.25">
      <c r="A1870" s="241"/>
      <c r="B1870" s="243"/>
      <c r="C1870" s="241"/>
      <c r="D1870" s="241"/>
      <c r="E1870" s="241"/>
    </row>
    <row r="1871" spans="1:5" customFormat="1" ht="24.95" customHeight="1" x14ac:dyDescent="0.25">
      <c r="A1871" s="241"/>
      <c r="B1871" s="243"/>
      <c r="C1871" s="241"/>
      <c r="D1871" s="241"/>
      <c r="E1871" s="241"/>
    </row>
    <row r="1872" spans="1:5" customFormat="1" ht="24.95" customHeight="1" x14ac:dyDescent="0.25">
      <c r="A1872" s="241"/>
      <c r="B1872" s="243"/>
      <c r="C1872" s="241"/>
      <c r="D1872" s="241"/>
      <c r="E1872" s="241"/>
    </row>
    <row r="1873" spans="1:5" customFormat="1" ht="24.95" customHeight="1" x14ac:dyDescent="0.25">
      <c r="A1873" s="241"/>
      <c r="B1873" s="243"/>
      <c r="C1873" s="241"/>
      <c r="D1873" s="241"/>
      <c r="E1873" s="241"/>
    </row>
    <row r="1874" spans="1:5" customFormat="1" ht="24.95" customHeight="1" x14ac:dyDescent="0.25">
      <c r="A1874" s="241"/>
      <c r="B1874" s="243"/>
      <c r="C1874" s="241"/>
      <c r="D1874" s="241"/>
      <c r="E1874" s="241"/>
    </row>
    <row r="1875" spans="1:5" customFormat="1" ht="24.95" customHeight="1" x14ac:dyDescent="0.25">
      <c r="A1875" s="241"/>
      <c r="B1875" s="243"/>
      <c r="C1875" s="241"/>
      <c r="D1875" s="241"/>
      <c r="E1875" s="241"/>
    </row>
    <row r="1876" spans="1:5" customFormat="1" ht="24.95" customHeight="1" x14ac:dyDescent="0.25">
      <c r="A1876" s="241"/>
      <c r="B1876" s="243"/>
      <c r="C1876" s="241"/>
      <c r="D1876" s="241"/>
      <c r="E1876" s="241"/>
    </row>
    <row r="1877" spans="1:5" customFormat="1" ht="24.95" customHeight="1" x14ac:dyDescent="0.25">
      <c r="A1877" s="241"/>
      <c r="B1877" s="243"/>
      <c r="C1877" s="241"/>
      <c r="D1877" s="241"/>
      <c r="E1877" s="241"/>
    </row>
    <row r="1878" spans="1:5" customFormat="1" ht="24.95" customHeight="1" x14ac:dyDescent="0.25">
      <c r="A1878" s="241"/>
      <c r="B1878" s="243"/>
      <c r="C1878" s="241"/>
      <c r="D1878" s="241"/>
      <c r="E1878" s="241"/>
    </row>
    <row r="1879" spans="1:5" customFormat="1" ht="24.95" customHeight="1" x14ac:dyDescent="0.25">
      <c r="A1879" s="241"/>
      <c r="B1879" s="243"/>
      <c r="C1879" s="241"/>
      <c r="D1879" s="241"/>
      <c r="E1879" s="241"/>
    </row>
    <row r="1880" spans="1:5" customFormat="1" ht="24.95" customHeight="1" x14ac:dyDescent="0.25">
      <c r="A1880" s="241"/>
      <c r="B1880" s="243"/>
      <c r="C1880" s="241"/>
      <c r="D1880" s="241"/>
      <c r="E1880" s="241"/>
    </row>
    <row r="1881" spans="1:5" customFormat="1" ht="24.95" customHeight="1" x14ac:dyDescent="0.25">
      <c r="A1881" s="241"/>
      <c r="B1881" s="243"/>
      <c r="C1881" s="241"/>
      <c r="D1881" s="241"/>
      <c r="E1881" s="241"/>
    </row>
    <row r="1882" spans="1:5" customFormat="1" ht="24.95" customHeight="1" x14ac:dyDescent="0.25">
      <c r="A1882" s="241"/>
      <c r="B1882" s="243"/>
      <c r="C1882" s="241"/>
      <c r="D1882" s="241"/>
      <c r="E1882" s="241"/>
    </row>
    <row r="1883" spans="1:5" customFormat="1" ht="24.95" customHeight="1" x14ac:dyDescent="0.25">
      <c r="A1883" s="241"/>
      <c r="B1883" s="243"/>
      <c r="C1883" s="241"/>
      <c r="D1883" s="241"/>
      <c r="E1883" s="241"/>
    </row>
    <row r="1884" spans="1:5" customFormat="1" ht="24.95" customHeight="1" x14ac:dyDescent="0.25">
      <c r="A1884" s="241"/>
      <c r="B1884" s="243"/>
      <c r="C1884" s="241"/>
      <c r="D1884" s="241"/>
      <c r="E1884" s="241"/>
    </row>
    <row r="1885" spans="1:5" customFormat="1" ht="24.95" customHeight="1" x14ac:dyDescent="0.25">
      <c r="A1885" s="241"/>
      <c r="B1885" s="243"/>
      <c r="C1885" s="241"/>
      <c r="D1885" s="241"/>
      <c r="E1885" s="241"/>
    </row>
    <row r="1886" spans="1:5" customFormat="1" ht="24.95" customHeight="1" x14ac:dyDescent="0.25">
      <c r="A1886" s="241"/>
      <c r="B1886" s="243"/>
      <c r="C1886" s="241"/>
      <c r="D1886" s="241"/>
      <c r="E1886" s="241"/>
    </row>
    <row r="1887" spans="1:5" customFormat="1" ht="24.95" customHeight="1" x14ac:dyDescent="0.25">
      <c r="A1887" s="241"/>
      <c r="B1887" s="243"/>
      <c r="C1887" s="241"/>
      <c r="D1887" s="241"/>
      <c r="E1887" s="241"/>
    </row>
    <row r="1888" spans="1:5" customFormat="1" ht="24.95" customHeight="1" x14ac:dyDescent="0.25">
      <c r="A1888" s="241"/>
      <c r="B1888" s="243"/>
      <c r="C1888" s="241"/>
      <c r="D1888" s="241"/>
      <c r="E1888" s="241"/>
    </row>
    <row r="1889" spans="1:5" customFormat="1" ht="24.95" customHeight="1" x14ac:dyDescent="0.25">
      <c r="A1889" s="241"/>
      <c r="B1889" s="243"/>
      <c r="C1889" s="241"/>
      <c r="D1889" s="241"/>
      <c r="E1889" s="241"/>
    </row>
    <row r="1890" spans="1:5" customFormat="1" ht="24.95" customHeight="1" x14ac:dyDescent="0.25">
      <c r="A1890" s="241"/>
      <c r="B1890" s="243"/>
      <c r="C1890" s="241"/>
      <c r="D1890" s="241"/>
      <c r="E1890" s="241"/>
    </row>
    <row r="1891" spans="1:5" customFormat="1" ht="24.95" customHeight="1" x14ac:dyDescent="0.25">
      <c r="A1891" s="241"/>
      <c r="B1891" s="243"/>
      <c r="C1891" s="241"/>
      <c r="D1891" s="241"/>
      <c r="E1891" s="241"/>
    </row>
    <row r="1892" spans="1:5" customFormat="1" ht="24.95" customHeight="1" x14ac:dyDescent="0.25">
      <c r="A1892" s="241"/>
      <c r="B1892" s="243"/>
      <c r="C1892" s="241"/>
      <c r="D1892" s="241"/>
      <c r="E1892" s="241"/>
    </row>
    <row r="1893" spans="1:5" customFormat="1" ht="24.95" customHeight="1" x14ac:dyDescent="0.25">
      <c r="A1893" s="241"/>
      <c r="B1893" s="243"/>
      <c r="C1893" s="241"/>
      <c r="D1893" s="241"/>
      <c r="E1893" s="241"/>
    </row>
    <row r="1894" spans="1:5" customFormat="1" ht="24.95" customHeight="1" x14ac:dyDescent="0.25">
      <c r="A1894" s="241"/>
      <c r="B1894" s="243"/>
      <c r="C1894" s="241"/>
      <c r="D1894" s="241"/>
      <c r="E1894" s="241"/>
    </row>
    <row r="1895" spans="1:5" customFormat="1" ht="24.95" customHeight="1" x14ac:dyDescent="0.25">
      <c r="A1895" s="241"/>
      <c r="B1895" s="243"/>
      <c r="C1895" s="241"/>
      <c r="D1895" s="241"/>
      <c r="E1895" s="241"/>
    </row>
    <row r="1896" spans="1:5" customFormat="1" ht="24.95" customHeight="1" x14ac:dyDescent="0.25">
      <c r="A1896" s="241"/>
      <c r="B1896" s="243"/>
      <c r="C1896" s="241"/>
      <c r="D1896" s="241"/>
      <c r="E1896" s="241"/>
    </row>
    <row r="1897" spans="1:5" customFormat="1" ht="24.95" customHeight="1" x14ac:dyDescent="0.25">
      <c r="A1897" s="241"/>
      <c r="B1897" s="243"/>
      <c r="C1897" s="241"/>
      <c r="D1897" s="241"/>
      <c r="E1897" s="241"/>
    </row>
    <row r="1898" spans="1:5" customFormat="1" ht="24.95" customHeight="1" x14ac:dyDescent="0.25">
      <c r="A1898" s="241"/>
      <c r="B1898" s="243"/>
      <c r="C1898" s="241"/>
      <c r="D1898" s="241"/>
      <c r="E1898" s="241"/>
    </row>
    <row r="1899" spans="1:5" customFormat="1" ht="24.95" customHeight="1" x14ac:dyDescent="0.25">
      <c r="A1899" s="241"/>
      <c r="B1899" s="243"/>
      <c r="C1899" s="241"/>
      <c r="D1899" s="241"/>
      <c r="E1899" s="241"/>
    </row>
    <row r="1900" spans="1:5" customFormat="1" ht="24.95" customHeight="1" x14ac:dyDescent="0.25">
      <c r="A1900" s="241"/>
      <c r="B1900" s="243"/>
      <c r="C1900" s="241"/>
      <c r="D1900" s="241"/>
      <c r="E1900" s="241"/>
    </row>
    <row r="1901" spans="1:5" customFormat="1" ht="24.95" customHeight="1" x14ac:dyDescent="0.25">
      <c r="A1901" s="241"/>
      <c r="B1901" s="243"/>
      <c r="C1901" s="241"/>
      <c r="D1901" s="241"/>
      <c r="E1901" s="241"/>
    </row>
    <row r="1902" spans="1:5" customFormat="1" ht="24.95" customHeight="1" x14ac:dyDescent="0.25">
      <c r="A1902" s="241"/>
      <c r="B1902" s="243"/>
      <c r="C1902" s="241"/>
      <c r="D1902" s="241"/>
      <c r="E1902" s="241"/>
    </row>
    <row r="1903" spans="1:5" customFormat="1" ht="24.95" customHeight="1" x14ac:dyDescent="0.25">
      <c r="A1903" s="241"/>
      <c r="B1903" s="243"/>
      <c r="C1903" s="241"/>
      <c r="D1903" s="241"/>
      <c r="E1903" s="241"/>
    </row>
    <row r="1904" spans="1:5" customFormat="1" ht="24.95" customHeight="1" x14ac:dyDescent="0.25">
      <c r="A1904" s="241"/>
      <c r="B1904" s="243"/>
      <c r="C1904" s="241"/>
      <c r="D1904" s="241"/>
      <c r="E1904" s="241"/>
    </row>
    <row r="1905" spans="1:5" customFormat="1" ht="24.95" customHeight="1" x14ac:dyDescent="0.25">
      <c r="A1905" s="241"/>
      <c r="B1905" s="243"/>
      <c r="C1905" s="241"/>
      <c r="D1905" s="241"/>
      <c r="E1905" s="241"/>
    </row>
    <row r="1906" spans="1:5" customFormat="1" ht="24.95" customHeight="1" x14ac:dyDescent="0.25">
      <c r="A1906" s="241"/>
      <c r="B1906" s="243"/>
      <c r="C1906" s="241"/>
      <c r="D1906" s="241"/>
      <c r="E1906" s="241"/>
    </row>
    <row r="1907" spans="1:5" customFormat="1" ht="24.95" customHeight="1" x14ac:dyDescent="0.25">
      <c r="A1907" s="241"/>
      <c r="B1907" s="243"/>
      <c r="C1907" s="241"/>
      <c r="D1907" s="241"/>
      <c r="E1907" s="241"/>
    </row>
    <row r="1908" spans="1:5" customFormat="1" ht="24.95" customHeight="1" x14ac:dyDescent="0.25">
      <c r="A1908" s="241"/>
      <c r="B1908" s="243"/>
      <c r="C1908" s="241"/>
      <c r="D1908" s="241"/>
      <c r="E1908" s="241"/>
    </row>
    <row r="1909" spans="1:5" customFormat="1" ht="24.95" customHeight="1" x14ac:dyDescent="0.25">
      <c r="A1909" s="241"/>
      <c r="B1909" s="243"/>
      <c r="C1909" s="241"/>
      <c r="D1909" s="241"/>
      <c r="E1909" s="241"/>
    </row>
    <row r="1910" spans="1:5" customFormat="1" ht="24.95" customHeight="1" x14ac:dyDescent="0.25">
      <c r="A1910" s="241"/>
      <c r="B1910" s="243"/>
      <c r="C1910" s="241"/>
      <c r="D1910" s="241"/>
      <c r="E1910" s="241"/>
    </row>
    <row r="1911" spans="1:5" customFormat="1" ht="24.95" customHeight="1" x14ac:dyDescent="0.25">
      <c r="A1911" s="241"/>
      <c r="B1911" s="243"/>
      <c r="C1911" s="241"/>
      <c r="D1911" s="241"/>
      <c r="E1911" s="241"/>
    </row>
    <row r="1912" spans="1:5" customFormat="1" ht="24.95" customHeight="1" x14ac:dyDescent="0.25">
      <c r="A1912" s="241"/>
      <c r="B1912" s="243"/>
      <c r="C1912" s="241"/>
      <c r="D1912" s="241"/>
      <c r="E1912" s="241"/>
    </row>
    <row r="1913" spans="1:5" customFormat="1" ht="24.95" customHeight="1" x14ac:dyDescent="0.25">
      <c r="A1913" s="241"/>
      <c r="B1913" s="243"/>
      <c r="C1913" s="241"/>
      <c r="D1913" s="241"/>
      <c r="E1913" s="241"/>
    </row>
    <row r="1914" spans="1:5" customFormat="1" ht="24.95" customHeight="1" x14ac:dyDescent="0.25">
      <c r="A1914" s="241"/>
      <c r="B1914" s="243"/>
      <c r="C1914" s="241"/>
      <c r="D1914" s="241"/>
      <c r="E1914" s="241"/>
    </row>
    <row r="1915" spans="1:5" customFormat="1" ht="24.95" customHeight="1" x14ac:dyDescent="0.25">
      <c r="A1915" s="241"/>
      <c r="B1915" s="243"/>
      <c r="C1915" s="241"/>
      <c r="D1915" s="241"/>
      <c r="E1915" s="241"/>
    </row>
    <row r="1916" spans="1:5" customFormat="1" ht="24.95" customHeight="1" x14ac:dyDescent="0.25">
      <c r="A1916" s="241"/>
      <c r="B1916" s="243"/>
      <c r="C1916" s="241"/>
      <c r="D1916" s="241"/>
      <c r="E1916" s="241"/>
    </row>
    <row r="1917" spans="1:5" customFormat="1" ht="24.95" customHeight="1" x14ac:dyDescent="0.25">
      <c r="A1917" s="241"/>
      <c r="B1917" s="243"/>
      <c r="C1917" s="241"/>
      <c r="D1917" s="241"/>
      <c r="E1917" s="241"/>
    </row>
    <row r="1918" spans="1:5" customFormat="1" ht="24.95" customHeight="1" x14ac:dyDescent="0.25">
      <c r="A1918" s="241"/>
      <c r="B1918" s="243"/>
      <c r="C1918" s="241"/>
      <c r="D1918" s="241"/>
      <c r="E1918" s="241"/>
    </row>
    <row r="1919" spans="1:5" customFormat="1" ht="24.95" customHeight="1" x14ac:dyDescent="0.25">
      <c r="A1919" s="241"/>
      <c r="B1919" s="243"/>
      <c r="C1919" s="241"/>
      <c r="D1919" s="241"/>
      <c r="E1919" s="241"/>
    </row>
    <row r="1920" spans="1:5" customFormat="1" ht="24.95" customHeight="1" x14ac:dyDescent="0.25">
      <c r="A1920" s="241"/>
      <c r="B1920" s="243"/>
      <c r="C1920" s="241"/>
      <c r="D1920" s="241"/>
      <c r="E1920" s="241"/>
    </row>
    <row r="1921" spans="1:5" customFormat="1" ht="24.95" customHeight="1" x14ac:dyDescent="0.25">
      <c r="A1921" s="241"/>
      <c r="B1921" s="243"/>
      <c r="C1921" s="241"/>
      <c r="D1921" s="241"/>
      <c r="E1921" s="241"/>
    </row>
    <row r="1922" spans="1:5" customFormat="1" ht="24.95" customHeight="1" x14ac:dyDescent="0.25">
      <c r="A1922" s="241"/>
      <c r="B1922" s="243"/>
      <c r="C1922" s="241"/>
      <c r="D1922" s="241"/>
      <c r="E1922" s="241"/>
    </row>
    <row r="1923" spans="1:5" customFormat="1" ht="24.95" customHeight="1" x14ac:dyDescent="0.25">
      <c r="A1923" s="241"/>
      <c r="B1923" s="243"/>
      <c r="C1923" s="241"/>
      <c r="D1923" s="241"/>
      <c r="E1923" s="241"/>
    </row>
    <row r="1924" spans="1:5" customFormat="1" ht="24.95" customHeight="1" x14ac:dyDescent="0.25">
      <c r="A1924" s="241"/>
      <c r="B1924" s="243"/>
      <c r="C1924" s="241"/>
      <c r="D1924" s="241"/>
      <c r="E1924" s="241"/>
    </row>
    <row r="1925" spans="1:5" customFormat="1" ht="24.95" customHeight="1" x14ac:dyDescent="0.25">
      <c r="A1925" s="241"/>
      <c r="B1925" s="243"/>
      <c r="C1925" s="241"/>
      <c r="D1925" s="241"/>
      <c r="E1925" s="241"/>
    </row>
    <row r="1926" spans="1:5" customFormat="1" ht="24.95" customHeight="1" x14ac:dyDescent="0.25">
      <c r="A1926" s="241"/>
      <c r="B1926" s="243"/>
      <c r="C1926" s="241"/>
      <c r="D1926" s="241"/>
      <c r="E1926" s="241"/>
    </row>
    <row r="1927" spans="1:5" customFormat="1" ht="24.95" customHeight="1" x14ac:dyDescent="0.25">
      <c r="A1927" s="241"/>
      <c r="B1927" s="243"/>
      <c r="C1927" s="241"/>
      <c r="D1927" s="241"/>
      <c r="E1927" s="241"/>
    </row>
    <row r="1928" spans="1:5" customFormat="1" ht="24.95" customHeight="1" x14ac:dyDescent="0.25">
      <c r="A1928" s="241"/>
      <c r="B1928" s="243"/>
      <c r="C1928" s="241"/>
      <c r="D1928" s="241"/>
      <c r="E1928" s="241"/>
    </row>
    <row r="1929" spans="1:5" customFormat="1" ht="24.95" customHeight="1" x14ac:dyDescent="0.25">
      <c r="A1929" s="241"/>
      <c r="B1929" s="243"/>
      <c r="C1929" s="241"/>
      <c r="D1929" s="241"/>
      <c r="E1929" s="241"/>
    </row>
    <row r="1930" spans="1:5" customFormat="1" ht="24.95" customHeight="1" x14ac:dyDescent="0.25">
      <c r="A1930" s="241"/>
      <c r="B1930" s="243"/>
      <c r="C1930" s="241"/>
      <c r="D1930" s="241"/>
      <c r="E1930" s="241"/>
    </row>
    <row r="1931" spans="1:5" customFormat="1" ht="24.95" customHeight="1" x14ac:dyDescent="0.25">
      <c r="A1931" s="241"/>
      <c r="B1931" s="243"/>
      <c r="C1931" s="241"/>
      <c r="D1931" s="241"/>
      <c r="E1931" s="241"/>
    </row>
    <row r="1932" spans="1:5" customFormat="1" ht="24.95" customHeight="1" x14ac:dyDescent="0.25">
      <c r="A1932" s="241"/>
      <c r="B1932" s="243"/>
      <c r="C1932" s="241"/>
      <c r="D1932" s="241"/>
      <c r="E1932" s="241"/>
    </row>
    <row r="1933" spans="1:5" customFormat="1" ht="24.95" customHeight="1" x14ac:dyDescent="0.25">
      <c r="A1933" s="241"/>
      <c r="B1933" s="243"/>
      <c r="C1933" s="241"/>
      <c r="D1933" s="241"/>
      <c r="E1933" s="241"/>
    </row>
    <row r="1934" spans="1:5" customFormat="1" ht="24.95" customHeight="1" x14ac:dyDescent="0.25">
      <c r="A1934" s="241"/>
      <c r="B1934" s="243"/>
      <c r="C1934" s="241"/>
      <c r="D1934" s="241"/>
      <c r="E1934" s="241"/>
    </row>
    <row r="1935" spans="1:5" customFormat="1" ht="24.95" customHeight="1" x14ac:dyDescent="0.25">
      <c r="A1935" s="241"/>
      <c r="B1935" s="243"/>
      <c r="C1935" s="241"/>
      <c r="D1935" s="241"/>
      <c r="E1935" s="241"/>
    </row>
    <row r="1936" spans="1:5" customFormat="1" ht="24.95" customHeight="1" x14ac:dyDescent="0.25">
      <c r="A1936" s="241"/>
      <c r="B1936" s="243"/>
      <c r="C1936" s="241"/>
      <c r="D1936" s="241"/>
      <c r="E1936" s="241"/>
    </row>
    <row r="1937" spans="1:5" customFormat="1" ht="24.95" customHeight="1" x14ac:dyDescent="0.25">
      <c r="A1937" s="241"/>
      <c r="B1937" s="243"/>
      <c r="C1937" s="241"/>
      <c r="D1937" s="241"/>
      <c r="E1937" s="241"/>
    </row>
    <row r="1938" spans="1:5" customFormat="1" ht="24.95" customHeight="1" x14ac:dyDescent="0.25">
      <c r="A1938" s="241"/>
      <c r="B1938" s="243"/>
      <c r="C1938" s="241"/>
      <c r="D1938" s="241"/>
      <c r="E1938" s="241"/>
    </row>
    <row r="1939" spans="1:5" customFormat="1" ht="24.95" customHeight="1" x14ac:dyDescent="0.25">
      <c r="A1939" s="241"/>
      <c r="B1939" s="243"/>
      <c r="C1939" s="241"/>
      <c r="D1939" s="241"/>
      <c r="E1939" s="241"/>
    </row>
    <row r="1940" spans="1:5" customFormat="1" ht="24.95" customHeight="1" x14ac:dyDescent="0.25">
      <c r="A1940" s="241"/>
      <c r="B1940" s="243"/>
      <c r="C1940" s="241"/>
      <c r="D1940" s="241"/>
      <c r="E1940" s="241"/>
    </row>
    <row r="1941" spans="1:5" customFormat="1" ht="24.95" customHeight="1" x14ac:dyDescent="0.25">
      <c r="A1941" s="241"/>
      <c r="B1941" s="243"/>
      <c r="C1941" s="241"/>
      <c r="D1941" s="241"/>
      <c r="E1941" s="241"/>
    </row>
    <row r="1942" spans="1:5" customFormat="1" ht="24.95" customHeight="1" x14ac:dyDescent="0.25">
      <c r="A1942" s="241"/>
      <c r="B1942" s="243"/>
      <c r="C1942" s="241"/>
      <c r="D1942" s="241"/>
      <c r="E1942" s="241"/>
    </row>
    <row r="1943" spans="1:5" customFormat="1" ht="24.95" customHeight="1" x14ac:dyDescent="0.25">
      <c r="A1943" s="241"/>
      <c r="B1943" s="243"/>
      <c r="C1943" s="241"/>
      <c r="D1943" s="241"/>
      <c r="E1943" s="241"/>
    </row>
    <row r="1944" spans="1:5" customFormat="1" ht="24.95" customHeight="1" x14ac:dyDescent="0.25">
      <c r="A1944" s="241"/>
      <c r="B1944" s="243"/>
      <c r="C1944" s="241"/>
      <c r="D1944" s="241"/>
      <c r="E1944" s="241"/>
    </row>
    <row r="1945" spans="1:5" customFormat="1" ht="24.95" customHeight="1" x14ac:dyDescent="0.25">
      <c r="A1945" s="241"/>
      <c r="B1945" s="243"/>
      <c r="C1945" s="241"/>
      <c r="D1945" s="241"/>
      <c r="E1945" s="241"/>
    </row>
    <row r="1946" spans="1:5" customFormat="1" ht="24.95" customHeight="1" x14ac:dyDescent="0.25">
      <c r="A1946" s="241"/>
      <c r="B1946" s="243"/>
      <c r="C1946" s="241"/>
      <c r="D1946" s="241"/>
      <c r="E1946" s="241"/>
    </row>
    <row r="1947" spans="1:5" customFormat="1" ht="24.95" customHeight="1" x14ac:dyDescent="0.25">
      <c r="A1947" s="241"/>
      <c r="B1947" s="243"/>
      <c r="C1947" s="241"/>
      <c r="D1947" s="241"/>
      <c r="E1947" s="241"/>
    </row>
    <row r="1948" spans="1:5" customFormat="1" ht="24.95" customHeight="1" x14ac:dyDescent="0.25">
      <c r="A1948" s="241"/>
      <c r="B1948" s="243"/>
      <c r="C1948" s="241"/>
      <c r="D1948" s="241"/>
      <c r="E1948" s="241"/>
    </row>
    <row r="1949" spans="1:5" customFormat="1" ht="24.95" customHeight="1" x14ac:dyDescent="0.25">
      <c r="A1949" s="241"/>
      <c r="B1949" s="243"/>
      <c r="C1949" s="241"/>
      <c r="D1949" s="241"/>
      <c r="E1949" s="241"/>
    </row>
    <row r="1950" spans="1:5" customFormat="1" ht="24.95" customHeight="1" x14ac:dyDescent="0.25">
      <c r="A1950" s="241"/>
      <c r="B1950" s="243"/>
      <c r="C1950" s="241"/>
      <c r="D1950" s="241"/>
      <c r="E1950" s="241"/>
    </row>
    <row r="1951" spans="1:5" customFormat="1" ht="24.95" customHeight="1" x14ac:dyDescent="0.25">
      <c r="A1951" s="241"/>
      <c r="B1951" s="243"/>
      <c r="C1951" s="241"/>
      <c r="D1951" s="241"/>
      <c r="E1951" s="241"/>
    </row>
    <row r="1952" spans="1:5" customFormat="1" ht="24.95" customHeight="1" x14ac:dyDescent="0.25">
      <c r="A1952" s="241"/>
      <c r="B1952" s="243"/>
      <c r="C1952" s="241"/>
      <c r="D1952" s="241"/>
      <c r="E1952" s="241"/>
    </row>
    <row r="1953" spans="1:5" customFormat="1" ht="24.95" customHeight="1" x14ac:dyDescent="0.25">
      <c r="A1953" s="241"/>
      <c r="B1953" s="243"/>
      <c r="C1953" s="241"/>
      <c r="D1953" s="241"/>
      <c r="E1953" s="241"/>
    </row>
    <row r="1954" spans="1:5" customFormat="1" ht="24.95" customHeight="1" x14ac:dyDescent="0.25">
      <c r="A1954" s="241"/>
      <c r="B1954" s="243"/>
      <c r="C1954" s="241"/>
      <c r="D1954" s="241"/>
      <c r="E1954" s="241"/>
    </row>
    <row r="1955" spans="1:5" customFormat="1" ht="24.95" customHeight="1" x14ac:dyDescent="0.25">
      <c r="A1955" s="241"/>
      <c r="B1955" s="243"/>
      <c r="C1955" s="241"/>
      <c r="D1955" s="241"/>
      <c r="E1955" s="241"/>
    </row>
    <row r="1956" spans="1:5" customFormat="1" ht="24.95" customHeight="1" x14ac:dyDescent="0.25">
      <c r="A1956" s="241"/>
      <c r="B1956" s="243"/>
      <c r="C1956" s="241"/>
      <c r="D1956" s="241"/>
      <c r="E1956" s="241"/>
    </row>
    <row r="1957" spans="1:5" customFormat="1" ht="24.95" customHeight="1" x14ac:dyDescent="0.25">
      <c r="A1957" s="241"/>
      <c r="B1957" s="243"/>
      <c r="C1957" s="241"/>
      <c r="D1957" s="241"/>
      <c r="E1957" s="241"/>
    </row>
    <row r="1958" spans="1:5" customFormat="1" ht="24.95" customHeight="1" x14ac:dyDescent="0.25">
      <c r="A1958" s="241"/>
      <c r="B1958" s="243"/>
      <c r="C1958" s="241"/>
      <c r="D1958" s="241"/>
      <c r="E1958" s="241"/>
    </row>
    <row r="1959" spans="1:5" customFormat="1" ht="24.95" customHeight="1" x14ac:dyDescent="0.25">
      <c r="A1959" s="241"/>
      <c r="B1959" s="243"/>
      <c r="C1959" s="241"/>
      <c r="D1959" s="241"/>
      <c r="E1959" s="241"/>
    </row>
    <row r="1960" spans="1:5" customFormat="1" ht="24.95" customHeight="1" x14ac:dyDescent="0.25">
      <c r="A1960" s="241"/>
      <c r="B1960" s="243"/>
      <c r="C1960" s="241"/>
      <c r="D1960" s="241"/>
      <c r="E1960" s="241"/>
    </row>
    <row r="1961" spans="1:5" customFormat="1" ht="24.95" customHeight="1" x14ac:dyDescent="0.25">
      <c r="A1961" s="241"/>
      <c r="B1961" s="243"/>
      <c r="C1961" s="241"/>
      <c r="D1961" s="241"/>
      <c r="E1961" s="241"/>
    </row>
    <row r="1962" spans="1:5" customFormat="1" ht="24.95" customHeight="1" x14ac:dyDescent="0.25">
      <c r="A1962" s="241"/>
      <c r="B1962" s="243"/>
      <c r="C1962" s="241"/>
      <c r="D1962" s="241"/>
      <c r="E1962" s="241"/>
    </row>
    <row r="1963" spans="1:5" customFormat="1" ht="24.95" customHeight="1" x14ac:dyDescent="0.25">
      <c r="A1963" s="241"/>
      <c r="B1963" s="243"/>
      <c r="C1963" s="241"/>
      <c r="D1963" s="241"/>
      <c r="E1963" s="241"/>
    </row>
    <row r="1964" spans="1:5" customFormat="1" ht="24.95" customHeight="1" x14ac:dyDescent="0.25">
      <c r="A1964" s="241"/>
      <c r="B1964" s="243"/>
      <c r="C1964" s="241"/>
      <c r="D1964" s="241"/>
      <c r="E1964" s="241"/>
    </row>
    <row r="1965" spans="1:5" customFormat="1" ht="24.95" customHeight="1" x14ac:dyDescent="0.25">
      <c r="A1965" s="241"/>
      <c r="B1965" s="243"/>
      <c r="C1965" s="241"/>
      <c r="D1965" s="241"/>
      <c r="E1965" s="241"/>
    </row>
    <row r="1966" spans="1:5" customFormat="1" ht="24.95" customHeight="1" x14ac:dyDescent="0.25">
      <c r="A1966" s="241"/>
      <c r="B1966" s="243"/>
      <c r="C1966" s="241"/>
      <c r="D1966" s="241"/>
      <c r="E1966" s="241"/>
    </row>
    <row r="1967" spans="1:5" customFormat="1" ht="24.95" customHeight="1" x14ac:dyDescent="0.25">
      <c r="A1967" s="241"/>
      <c r="B1967" s="243"/>
      <c r="C1967" s="241"/>
      <c r="D1967" s="241"/>
      <c r="E1967" s="241"/>
    </row>
    <row r="1968" spans="1:5" customFormat="1" ht="24.95" customHeight="1" x14ac:dyDescent="0.25">
      <c r="A1968" s="241"/>
      <c r="B1968" s="243"/>
      <c r="C1968" s="241"/>
      <c r="D1968" s="241"/>
      <c r="E1968" s="241"/>
    </row>
    <row r="1969" spans="1:5" customFormat="1" ht="24.95" customHeight="1" x14ac:dyDescent="0.25">
      <c r="A1969" s="241"/>
      <c r="B1969" s="243"/>
      <c r="C1969" s="241"/>
      <c r="D1969" s="241"/>
      <c r="E1969" s="241"/>
    </row>
    <row r="1970" spans="1:5" customFormat="1" ht="24.95" customHeight="1" x14ac:dyDescent="0.25">
      <c r="A1970" s="241"/>
      <c r="B1970" s="243"/>
      <c r="C1970" s="241"/>
      <c r="D1970" s="241"/>
      <c r="E1970" s="241"/>
    </row>
    <row r="1971" spans="1:5" customFormat="1" ht="24.95" customHeight="1" x14ac:dyDescent="0.25">
      <c r="A1971" s="241"/>
      <c r="B1971" s="243"/>
      <c r="C1971" s="241"/>
      <c r="D1971" s="241"/>
      <c r="E1971" s="241"/>
    </row>
    <row r="1972" spans="1:5" customFormat="1" ht="24.95" customHeight="1" x14ac:dyDescent="0.25">
      <c r="A1972" s="241"/>
      <c r="B1972" s="243"/>
      <c r="C1972" s="241"/>
      <c r="D1972" s="241"/>
      <c r="E1972" s="241"/>
    </row>
    <row r="1973" spans="1:5" customFormat="1" ht="24.95" customHeight="1" x14ac:dyDescent="0.25">
      <c r="A1973" s="241"/>
      <c r="B1973" s="243"/>
      <c r="C1973" s="241"/>
      <c r="D1973" s="241"/>
      <c r="E1973" s="241"/>
    </row>
    <row r="1974" spans="1:5" customFormat="1" ht="24.95" customHeight="1" x14ac:dyDescent="0.25">
      <c r="A1974" s="241"/>
      <c r="B1974" s="243"/>
      <c r="C1974" s="241"/>
      <c r="D1974" s="241"/>
      <c r="E1974" s="241"/>
    </row>
    <row r="1975" spans="1:5" customFormat="1" ht="24.95" customHeight="1" x14ac:dyDescent="0.25">
      <c r="A1975" s="241"/>
      <c r="B1975" s="243"/>
      <c r="C1975" s="241"/>
      <c r="D1975" s="241"/>
      <c r="E1975" s="241"/>
    </row>
    <row r="1976" spans="1:5" customFormat="1" ht="24.95" customHeight="1" x14ac:dyDescent="0.25">
      <c r="A1976" s="241"/>
      <c r="B1976" s="243"/>
      <c r="C1976" s="241"/>
      <c r="D1976" s="241"/>
      <c r="E1976" s="241"/>
    </row>
    <row r="1977" spans="1:5" customFormat="1" ht="24.95" customHeight="1" x14ac:dyDescent="0.25">
      <c r="A1977" s="241"/>
      <c r="B1977" s="243"/>
      <c r="C1977" s="241"/>
      <c r="D1977" s="241"/>
      <c r="E1977" s="241"/>
    </row>
    <row r="1978" spans="1:5" customFormat="1" ht="24.95" customHeight="1" x14ac:dyDescent="0.25">
      <c r="A1978" s="241"/>
      <c r="B1978" s="243"/>
      <c r="C1978" s="241"/>
      <c r="D1978" s="241"/>
      <c r="E1978" s="241"/>
    </row>
    <row r="1979" spans="1:5" customFormat="1" ht="24.95" customHeight="1" x14ac:dyDescent="0.25">
      <c r="A1979" s="241"/>
      <c r="B1979" s="243"/>
      <c r="C1979" s="241"/>
      <c r="D1979" s="241"/>
      <c r="E1979" s="241"/>
    </row>
    <row r="1980" spans="1:5" customFormat="1" ht="24.95" customHeight="1" x14ac:dyDescent="0.25">
      <c r="A1980" s="241"/>
      <c r="B1980" s="243"/>
      <c r="C1980" s="241"/>
      <c r="D1980" s="241"/>
      <c r="E1980" s="241"/>
    </row>
    <row r="1981" spans="1:5" customFormat="1" ht="24.95" customHeight="1" x14ac:dyDescent="0.25">
      <c r="A1981" s="241"/>
      <c r="B1981" s="243"/>
      <c r="C1981" s="241"/>
      <c r="D1981" s="241"/>
      <c r="E1981" s="241"/>
    </row>
    <row r="1982" spans="1:5" customFormat="1" ht="24.95" customHeight="1" x14ac:dyDescent="0.25">
      <c r="A1982" s="241"/>
      <c r="B1982" s="243"/>
      <c r="C1982" s="241"/>
      <c r="D1982" s="241"/>
      <c r="E1982" s="241"/>
    </row>
    <row r="1983" spans="1:5" customFormat="1" ht="24.95" customHeight="1" x14ac:dyDescent="0.25">
      <c r="A1983" s="241"/>
      <c r="B1983" s="243"/>
      <c r="C1983" s="241"/>
      <c r="D1983" s="241"/>
      <c r="E1983" s="241"/>
    </row>
    <row r="1984" spans="1:5" customFormat="1" ht="24.95" customHeight="1" x14ac:dyDescent="0.25">
      <c r="A1984" s="241"/>
      <c r="B1984" s="243"/>
      <c r="C1984" s="241"/>
      <c r="D1984" s="241"/>
      <c r="E1984" s="241"/>
    </row>
    <row r="1985" spans="1:5" customFormat="1" ht="24.95" customHeight="1" x14ac:dyDescent="0.25">
      <c r="A1985" s="241"/>
      <c r="B1985" s="243"/>
      <c r="C1985" s="241"/>
      <c r="D1985" s="241"/>
      <c r="E1985" s="241"/>
    </row>
    <row r="1986" spans="1:5" customFormat="1" ht="24.95" customHeight="1" x14ac:dyDescent="0.25">
      <c r="A1986" s="241"/>
      <c r="B1986" s="243"/>
      <c r="C1986" s="241"/>
      <c r="D1986" s="241"/>
      <c r="E1986" s="241"/>
    </row>
    <row r="1987" spans="1:5" customFormat="1" ht="24.95" customHeight="1" x14ac:dyDescent="0.25">
      <c r="A1987" s="241"/>
      <c r="B1987" s="243"/>
      <c r="C1987" s="241"/>
      <c r="D1987" s="241"/>
      <c r="E1987" s="241"/>
    </row>
    <row r="1988" spans="1:5" customFormat="1" ht="24.95" customHeight="1" x14ac:dyDescent="0.25">
      <c r="A1988" s="241"/>
      <c r="B1988" s="243"/>
      <c r="C1988" s="241"/>
      <c r="D1988" s="241"/>
      <c r="E1988" s="241"/>
    </row>
    <row r="1989" spans="1:5" customFormat="1" ht="24.95" customHeight="1" x14ac:dyDescent="0.25">
      <c r="A1989" s="241"/>
      <c r="B1989" s="243"/>
      <c r="C1989" s="241"/>
      <c r="D1989" s="241"/>
      <c r="E1989" s="241"/>
    </row>
    <row r="1990" spans="1:5" customFormat="1" ht="24.95" customHeight="1" x14ac:dyDescent="0.25">
      <c r="A1990" s="241"/>
      <c r="B1990" s="243"/>
      <c r="C1990" s="241"/>
      <c r="D1990" s="241"/>
      <c r="E1990" s="241"/>
    </row>
    <row r="1991" spans="1:5" customFormat="1" ht="24.95" customHeight="1" x14ac:dyDescent="0.25">
      <c r="A1991" s="241"/>
      <c r="B1991" s="243"/>
      <c r="C1991" s="241"/>
      <c r="D1991" s="241"/>
      <c r="E1991" s="241"/>
    </row>
    <row r="1992" spans="1:5" customFormat="1" ht="24.95" customHeight="1" x14ac:dyDescent="0.25">
      <c r="A1992" s="241"/>
      <c r="B1992" s="243"/>
      <c r="C1992" s="241"/>
      <c r="D1992" s="241"/>
      <c r="E1992" s="241"/>
    </row>
    <row r="1993" spans="1:5" customFormat="1" ht="24.95" customHeight="1" x14ac:dyDescent="0.25">
      <c r="A1993" s="241"/>
      <c r="B1993" s="243"/>
      <c r="C1993" s="241"/>
      <c r="D1993" s="241"/>
      <c r="E1993" s="241"/>
    </row>
    <row r="1994" spans="1:5" customFormat="1" ht="24.95" customHeight="1" x14ac:dyDescent="0.25">
      <c r="A1994" s="241"/>
      <c r="B1994" s="243"/>
      <c r="C1994" s="241"/>
      <c r="D1994" s="241"/>
      <c r="E1994" s="241"/>
    </row>
    <row r="1995" spans="1:5" customFormat="1" ht="24.95" customHeight="1" x14ac:dyDescent="0.25">
      <c r="A1995" s="241"/>
      <c r="B1995" s="243"/>
      <c r="C1995" s="241"/>
      <c r="D1995" s="241"/>
      <c r="E1995" s="241"/>
    </row>
    <row r="1996" spans="1:5" customFormat="1" ht="24.95" customHeight="1" x14ac:dyDescent="0.25">
      <c r="A1996" s="241"/>
      <c r="B1996" s="243"/>
      <c r="C1996" s="241"/>
      <c r="D1996" s="241"/>
      <c r="E1996" s="241"/>
    </row>
    <row r="1997" spans="1:5" customFormat="1" ht="24.95" customHeight="1" x14ac:dyDescent="0.25">
      <c r="A1997" s="241"/>
      <c r="B1997" s="243"/>
      <c r="C1997" s="241"/>
      <c r="D1997" s="241"/>
      <c r="E1997" s="241"/>
    </row>
    <row r="1998" spans="1:5" customFormat="1" ht="24.95" customHeight="1" x14ac:dyDescent="0.25">
      <c r="A1998" s="241"/>
      <c r="B1998" s="243"/>
      <c r="C1998" s="241"/>
      <c r="D1998" s="241"/>
      <c r="E1998" s="241"/>
    </row>
    <row r="1999" spans="1:5" customFormat="1" ht="24.95" customHeight="1" x14ac:dyDescent="0.25">
      <c r="A1999" s="241"/>
      <c r="B1999" s="243"/>
      <c r="C1999" s="241"/>
      <c r="D1999" s="241"/>
      <c r="E1999" s="241"/>
    </row>
    <row r="2000" spans="1:5" customFormat="1" ht="24.95" customHeight="1" x14ac:dyDescent="0.25">
      <c r="A2000" s="241"/>
      <c r="B2000" s="243"/>
      <c r="C2000" s="241"/>
      <c r="D2000" s="241"/>
      <c r="E2000" s="241"/>
    </row>
    <row r="2001" spans="1:5" customFormat="1" ht="24.95" customHeight="1" x14ac:dyDescent="0.25">
      <c r="A2001" s="241"/>
      <c r="B2001" s="243"/>
      <c r="C2001" s="241"/>
      <c r="D2001" s="241"/>
      <c r="E2001" s="241"/>
    </row>
    <row r="2002" spans="1:5" customFormat="1" ht="24.95" customHeight="1" x14ac:dyDescent="0.25">
      <c r="A2002" s="241"/>
      <c r="B2002" s="243"/>
      <c r="C2002" s="241"/>
      <c r="D2002" s="241"/>
      <c r="E2002" s="241"/>
    </row>
    <row r="2003" spans="1:5" customFormat="1" ht="24.95" customHeight="1" x14ac:dyDescent="0.25">
      <c r="A2003" s="241"/>
      <c r="B2003" s="243"/>
      <c r="C2003" s="241"/>
      <c r="D2003" s="241"/>
      <c r="E2003" s="241"/>
    </row>
    <row r="2004" spans="1:5" customFormat="1" ht="24.95" customHeight="1" x14ac:dyDescent="0.25">
      <c r="A2004" s="241"/>
      <c r="B2004" s="243"/>
      <c r="C2004" s="241"/>
      <c r="D2004" s="241"/>
      <c r="E2004" s="241"/>
    </row>
    <row r="2005" spans="1:5" customFormat="1" ht="24.95" customHeight="1" x14ac:dyDescent="0.25">
      <c r="A2005" s="241"/>
      <c r="B2005" s="243"/>
      <c r="C2005" s="241"/>
      <c r="D2005" s="241"/>
      <c r="E2005" s="241"/>
    </row>
    <row r="2006" spans="1:5" customFormat="1" ht="24.95" customHeight="1" x14ac:dyDescent="0.25">
      <c r="A2006" s="241"/>
      <c r="B2006" s="243"/>
      <c r="C2006" s="241"/>
      <c r="D2006" s="241"/>
      <c r="E2006" s="241"/>
    </row>
    <row r="2007" spans="1:5" customFormat="1" ht="24.95" customHeight="1" x14ac:dyDescent="0.25">
      <c r="A2007" s="241"/>
      <c r="B2007" s="243"/>
      <c r="C2007" s="241"/>
      <c r="D2007" s="241"/>
      <c r="E2007" s="241"/>
    </row>
    <row r="2008" spans="1:5" customFormat="1" ht="24.95" customHeight="1" x14ac:dyDescent="0.25">
      <c r="A2008" s="241"/>
      <c r="B2008" s="243"/>
      <c r="C2008" s="241"/>
      <c r="D2008" s="241"/>
      <c r="E2008" s="241"/>
    </row>
    <row r="2009" spans="1:5" customFormat="1" ht="24.95" customHeight="1" x14ac:dyDescent="0.25">
      <c r="A2009" s="241"/>
      <c r="B2009" s="243"/>
      <c r="C2009" s="241"/>
      <c r="D2009" s="241"/>
      <c r="E2009" s="241"/>
    </row>
    <row r="2010" spans="1:5" customFormat="1" ht="24.95" customHeight="1" x14ac:dyDescent="0.25">
      <c r="A2010" s="241"/>
      <c r="B2010" s="243"/>
      <c r="C2010" s="241"/>
      <c r="D2010" s="241"/>
      <c r="E2010" s="241"/>
    </row>
    <row r="2011" spans="1:5" customFormat="1" ht="24.95" customHeight="1" x14ac:dyDescent="0.25">
      <c r="A2011" s="241"/>
      <c r="B2011" s="243"/>
      <c r="C2011" s="241"/>
      <c r="D2011" s="241"/>
      <c r="E2011" s="241"/>
    </row>
    <row r="2012" spans="1:5" customFormat="1" ht="24.95" customHeight="1" x14ac:dyDescent="0.25">
      <c r="A2012" s="241"/>
      <c r="B2012" s="243"/>
      <c r="C2012" s="241"/>
      <c r="D2012" s="241"/>
      <c r="E2012" s="241"/>
    </row>
    <row r="2013" spans="1:5" customFormat="1" ht="24.95" customHeight="1" x14ac:dyDescent="0.25">
      <c r="A2013" s="241"/>
      <c r="B2013" s="243"/>
      <c r="C2013" s="241"/>
      <c r="D2013" s="241"/>
      <c r="E2013" s="241"/>
    </row>
    <row r="2014" spans="1:5" customFormat="1" ht="24.95" customHeight="1" x14ac:dyDescent="0.25">
      <c r="A2014" s="241"/>
      <c r="B2014" s="243"/>
      <c r="C2014" s="241"/>
      <c r="D2014" s="241"/>
      <c r="E2014" s="241"/>
    </row>
    <row r="2015" spans="1:5" customFormat="1" ht="24.95" customHeight="1" x14ac:dyDescent="0.25">
      <c r="A2015" s="241"/>
      <c r="B2015" s="243"/>
      <c r="C2015" s="241"/>
      <c r="D2015" s="241"/>
      <c r="E2015" s="241"/>
    </row>
    <row r="2016" spans="1:5" customFormat="1" ht="24.95" customHeight="1" x14ac:dyDescent="0.25">
      <c r="A2016" s="241"/>
      <c r="B2016" s="243"/>
      <c r="C2016" s="241"/>
      <c r="D2016" s="241"/>
      <c r="E2016" s="241"/>
    </row>
    <row r="2017" spans="1:5" customFormat="1" ht="24.95" customHeight="1" x14ac:dyDescent="0.25">
      <c r="A2017" s="241"/>
      <c r="B2017" s="243"/>
      <c r="C2017" s="241"/>
      <c r="D2017" s="241"/>
      <c r="E2017" s="241"/>
    </row>
    <row r="2018" spans="1:5" customFormat="1" ht="24.95" customHeight="1" x14ac:dyDescent="0.25">
      <c r="A2018" s="241"/>
      <c r="B2018" s="243"/>
      <c r="C2018" s="241"/>
      <c r="D2018" s="241"/>
      <c r="E2018" s="241"/>
    </row>
    <row r="2019" spans="1:5" customFormat="1" ht="24.95" customHeight="1" x14ac:dyDescent="0.25">
      <c r="A2019" s="241"/>
      <c r="B2019" s="243"/>
      <c r="C2019" s="241"/>
      <c r="D2019" s="241"/>
      <c r="E2019" s="241"/>
    </row>
    <row r="2020" spans="1:5" customFormat="1" ht="24.95" customHeight="1" x14ac:dyDescent="0.25">
      <c r="A2020" s="241"/>
      <c r="B2020" s="243"/>
      <c r="C2020" s="241"/>
      <c r="D2020" s="241"/>
      <c r="E2020" s="241"/>
    </row>
    <row r="2021" spans="1:5" customFormat="1" ht="24.95" customHeight="1" x14ac:dyDescent="0.25">
      <c r="A2021" s="241"/>
      <c r="B2021" s="243"/>
      <c r="C2021" s="241"/>
      <c r="D2021" s="241"/>
      <c r="E2021" s="241"/>
    </row>
    <row r="2022" spans="1:5" customFormat="1" ht="24.95" customHeight="1" x14ac:dyDescent="0.25">
      <c r="A2022" s="241"/>
      <c r="B2022" s="243"/>
      <c r="C2022" s="241"/>
      <c r="D2022" s="241"/>
      <c r="E2022" s="241"/>
    </row>
    <row r="2023" spans="1:5" customFormat="1" ht="24.95" customHeight="1" x14ac:dyDescent="0.25">
      <c r="A2023" s="241"/>
      <c r="B2023" s="243"/>
      <c r="C2023" s="241"/>
      <c r="D2023" s="241"/>
      <c r="E2023" s="241"/>
    </row>
    <row r="2024" spans="1:5" customFormat="1" ht="24.95" customHeight="1" x14ac:dyDescent="0.25">
      <c r="A2024" s="241"/>
      <c r="B2024" s="243"/>
      <c r="C2024" s="241"/>
      <c r="D2024" s="241"/>
      <c r="E2024" s="241"/>
    </row>
    <row r="2025" spans="1:5" customFormat="1" ht="24.95" customHeight="1" x14ac:dyDescent="0.25">
      <c r="A2025" s="241"/>
      <c r="B2025" s="243"/>
      <c r="C2025" s="241"/>
      <c r="D2025" s="241"/>
      <c r="E2025" s="241"/>
    </row>
    <row r="2026" spans="1:5" customFormat="1" ht="24.95" customHeight="1" x14ac:dyDescent="0.25">
      <c r="A2026" s="241"/>
      <c r="B2026" s="243"/>
      <c r="C2026" s="241"/>
      <c r="D2026" s="241"/>
      <c r="E2026" s="241"/>
    </row>
    <row r="2027" spans="1:5" customFormat="1" ht="24.95" customHeight="1" x14ac:dyDescent="0.25">
      <c r="A2027" s="241"/>
      <c r="B2027" s="243"/>
      <c r="C2027" s="241"/>
      <c r="D2027" s="241"/>
      <c r="E2027" s="241"/>
    </row>
    <row r="2028" spans="1:5" customFormat="1" ht="24.95" customHeight="1" x14ac:dyDescent="0.25">
      <c r="A2028" s="241"/>
      <c r="B2028" s="243"/>
      <c r="C2028" s="241"/>
      <c r="D2028" s="241"/>
      <c r="E2028" s="241"/>
    </row>
    <row r="2029" spans="1:5" customFormat="1" ht="24.95" customHeight="1" x14ac:dyDescent="0.25">
      <c r="A2029" s="241"/>
      <c r="B2029" s="243"/>
      <c r="C2029" s="241"/>
      <c r="D2029" s="241"/>
      <c r="E2029" s="241"/>
    </row>
    <row r="2030" spans="1:5" customFormat="1" ht="24.95" customHeight="1" x14ac:dyDescent="0.25">
      <c r="A2030" s="241"/>
      <c r="B2030" s="243"/>
      <c r="C2030" s="241"/>
      <c r="D2030" s="241"/>
      <c r="E2030" s="241"/>
    </row>
    <row r="2031" spans="1:5" customFormat="1" ht="24.95" customHeight="1" x14ac:dyDescent="0.25">
      <c r="A2031" s="241"/>
      <c r="B2031" s="243"/>
      <c r="C2031" s="241"/>
      <c r="D2031" s="241"/>
      <c r="E2031" s="241"/>
    </row>
    <row r="2032" spans="1:5" customFormat="1" ht="24.95" customHeight="1" x14ac:dyDescent="0.25">
      <c r="A2032" s="241"/>
      <c r="B2032" s="243"/>
      <c r="C2032" s="241"/>
      <c r="D2032" s="241"/>
      <c r="E2032" s="241"/>
    </row>
    <row r="2033" spans="1:5" customFormat="1" ht="24.95" customHeight="1" x14ac:dyDescent="0.25">
      <c r="A2033" s="241"/>
      <c r="B2033" s="243"/>
      <c r="C2033" s="241"/>
      <c r="D2033" s="241"/>
      <c r="E2033" s="241"/>
    </row>
    <row r="2034" spans="1:5" customFormat="1" ht="24.95" customHeight="1" x14ac:dyDescent="0.25">
      <c r="A2034" s="241"/>
      <c r="B2034" s="243"/>
      <c r="C2034" s="241"/>
      <c r="D2034" s="241"/>
      <c r="E2034" s="241"/>
    </row>
    <row r="2035" spans="1:5" customFormat="1" ht="24.95" customHeight="1" x14ac:dyDescent="0.25">
      <c r="A2035" s="241"/>
      <c r="B2035" s="243"/>
      <c r="C2035" s="241"/>
      <c r="D2035" s="241"/>
      <c r="E2035" s="241"/>
    </row>
    <row r="2036" spans="1:5" customFormat="1" ht="24.95" customHeight="1" x14ac:dyDescent="0.25">
      <c r="A2036" s="241"/>
      <c r="B2036" s="243"/>
      <c r="C2036" s="241"/>
      <c r="D2036" s="241"/>
      <c r="E2036" s="241"/>
    </row>
    <row r="2037" spans="1:5" customFormat="1" ht="24.95" customHeight="1" x14ac:dyDescent="0.25">
      <c r="A2037" s="241"/>
      <c r="B2037" s="243"/>
      <c r="C2037" s="241"/>
      <c r="D2037" s="241"/>
      <c r="E2037" s="241"/>
    </row>
    <row r="2038" spans="1:5" customFormat="1" ht="24.95" customHeight="1" x14ac:dyDescent="0.25">
      <c r="A2038" s="241"/>
      <c r="B2038" s="243"/>
      <c r="C2038" s="241"/>
      <c r="D2038" s="241"/>
      <c r="E2038" s="241"/>
    </row>
    <row r="2039" spans="1:5" customFormat="1" ht="24.95" customHeight="1" x14ac:dyDescent="0.25">
      <c r="A2039" s="241"/>
      <c r="B2039" s="243"/>
      <c r="C2039" s="241"/>
      <c r="D2039" s="241"/>
      <c r="E2039" s="241"/>
    </row>
    <row r="2040" spans="1:5" customFormat="1" ht="24.95" customHeight="1" x14ac:dyDescent="0.25">
      <c r="A2040" s="241"/>
      <c r="B2040" s="243"/>
      <c r="C2040" s="241"/>
      <c r="D2040" s="241"/>
      <c r="E2040" s="241"/>
    </row>
    <row r="2041" spans="1:5" customFormat="1" ht="24.95" customHeight="1" x14ac:dyDescent="0.25">
      <c r="A2041" s="241"/>
      <c r="B2041" s="243"/>
      <c r="C2041" s="241"/>
      <c r="D2041" s="241"/>
      <c r="E2041" s="241"/>
    </row>
    <row r="2042" spans="1:5" customFormat="1" ht="24.95" customHeight="1" x14ac:dyDescent="0.25">
      <c r="A2042" s="241"/>
      <c r="B2042" s="243"/>
      <c r="C2042" s="241"/>
      <c r="D2042" s="241"/>
      <c r="E2042" s="241"/>
    </row>
    <row r="2043" spans="1:5" customFormat="1" ht="24.95" customHeight="1" x14ac:dyDescent="0.25">
      <c r="A2043" s="241"/>
      <c r="B2043" s="243"/>
      <c r="C2043" s="241"/>
      <c r="D2043" s="241"/>
      <c r="E2043" s="241"/>
    </row>
    <row r="2044" spans="1:5" customFormat="1" ht="24.95" customHeight="1" x14ac:dyDescent="0.25">
      <c r="A2044" s="241"/>
      <c r="B2044" s="243"/>
      <c r="C2044" s="241"/>
      <c r="D2044" s="241"/>
      <c r="E2044" s="241"/>
    </row>
    <row r="2045" spans="1:5" customFormat="1" ht="24.95" customHeight="1" x14ac:dyDescent="0.25">
      <c r="A2045" s="241"/>
      <c r="B2045" s="243"/>
      <c r="C2045" s="241"/>
      <c r="D2045" s="241"/>
      <c r="E2045" s="241"/>
    </row>
    <row r="2046" spans="1:5" customFormat="1" ht="24.95" customHeight="1" x14ac:dyDescent="0.25">
      <c r="A2046" s="241"/>
      <c r="B2046" s="243"/>
      <c r="C2046" s="241"/>
      <c r="D2046" s="241"/>
      <c r="E2046" s="241"/>
    </row>
    <row r="2047" spans="1:5" customFormat="1" ht="24.95" customHeight="1" x14ac:dyDescent="0.25">
      <c r="A2047" s="241"/>
      <c r="B2047" s="243"/>
      <c r="C2047" s="241"/>
      <c r="D2047" s="241"/>
      <c r="E2047" s="241"/>
    </row>
    <row r="2048" spans="1:5" customFormat="1" ht="24.95" customHeight="1" x14ac:dyDescent="0.25">
      <c r="A2048" s="241"/>
      <c r="B2048" s="243"/>
      <c r="C2048" s="241"/>
      <c r="D2048" s="241"/>
      <c r="E2048" s="241"/>
    </row>
    <row r="2049" spans="1:5" customFormat="1" ht="24.95" customHeight="1" x14ac:dyDescent="0.25">
      <c r="A2049" s="241"/>
      <c r="B2049" s="243"/>
      <c r="C2049" s="241"/>
      <c r="D2049" s="241"/>
      <c r="E2049" s="241"/>
    </row>
    <row r="2050" spans="1:5" customFormat="1" ht="24.95" customHeight="1" x14ac:dyDescent="0.25">
      <c r="A2050" s="241"/>
      <c r="B2050" s="243"/>
      <c r="C2050" s="241"/>
      <c r="D2050" s="241"/>
      <c r="E2050" s="241"/>
    </row>
    <row r="2051" spans="1:5" customFormat="1" ht="24.95" customHeight="1" x14ac:dyDescent="0.25">
      <c r="A2051" s="241"/>
      <c r="B2051" s="243"/>
      <c r="C2051" s="241"/>
      <c r="D2051" s="241"/>
      <c r="E2051" s="241"/>
    </row>
    <row r="2052" spans="1:5" customFormat="1" ht="24.95" customHeight="1" x14ac:dyDescent="0.25">
      <c r="A2052" s="241"/>
      <c r="B2052" s="243"/>
      <c r="C2052" s="241"/>
      <c r="D2052" s="241"/>
      <c r="E2052" s="241"/>
    </row>
    <row r="2053" spans="1:5" customFormat="1" ht="24.95" customHeight="1" x14ac:dyDescent="0.25">
      <c r="A2053" s="241"/>
      <c r="B2053" s="243"/>
      <c r="C2053" s="241"/>
      <c r="D2053" s="241"/>
      <c r="E2053" s="241"/>
    </row>
    <row r="2054" spans="1:5" customFormat="1" ht="24.95" customHeight="1" x14ac:dyDescent="0.25">
      <c r="A2054" s="241"/>
      <c r="B2054" s="243"/>
      <c r="C2054" s="241"/>
      <c r="D2054" s="241"/>
      <c r="E2054" s="241"/>
    </row>
    <row r="2055" spans="1:5" customFormat="1" ht="24.95" customHeight="1" x14ac:dyDescent="0.25">
      <c r="A2055" s="241"/>
      <c r="B2055" s="243"/>
      <c r="C2055" s="241"/>
      <c r="D2055" s="241"/>
      <c r="E2055" s="241"/>
    </row>
    <row r="2056" spans="1:5" customFormat="1" ht="24.95" customHeight="1" x14ac:dyDescent="0.25">
      <c r="A2056" s="241"/>
      <c r="B2056" s="243"/>
      <c r="C2056" s="241"/>
      <c r="D2056" s="241"/>
      <c r="E2056" s="241"/>
    </row>
    <row r="2057" spans="1:5" customFormat="1" ht="24.95" customHeight="1" x14ac:dyDescent="0.25">
      <c r="A2057" s="241"/>
      <c r="B2057" s="243"/>
      <c r="C2057" s="241"/>
      <c r="D2057" s="241"/>
      <c r="E2057" s="241"/>
    </row>
    <row r="2058" spans="1:5" customFormat="1" ht="24.95" customHeight="1" x14ac:dyDescent="0.25">
      <c r="A2058" s="241"/>
      <c r="B2058" s="243"/>
      <c r="C2058" s="241"/>
      <c r="D2058" s="241"/>
      <c r="E2058" s="241"/>
    </row>
    <row r="2059" spans="1:5" customFormat="1" ht="24.95" customHeight="1" x14ac:dyDescent="0.25">
      <c r="A2059" s="241"/>
      <c r="B2059" s="243"/>
      <c r="C2059" s="241"/>
      <c r="D2059" s="241"/>
      <c r="E2059" s="241"/>
    </row>
    <row r="2060" spans="1:5" customFormat="1" ht="24.95" customHeight="1" x14ac:dyDescent="0.25">
      <c r="A2060" s="241"/>
      <c r="B2060" s="243"/>
      <c r="C2060" s="241"/>
      <c r="D2060" s="241"/>
      <c r="E2060" s="241"/>
    </row>
    <row r="2061" spans="1:5" customFormat="1" ht="24.95" customHeight="1" x14ac:dyDescent="0.25">
      <c r="A2061" s="241"/>
      <c r="B2061" s="243"/>
      <c r="C2061" s="241"/>
      <c r="D2061" s="241"/>
      <c r="E2061" s="241"/>
    </row>
    <row r="2062" spans="1:5" customFormat="1" ht="24.95" customHeight="1" x14ac:dyDescent="0.25">
      <c r="A2062" s="241"/>
      <c r="B2062" s="243"/>
      <c r="C2062" s="241"/>
      <c r="D2062" s="241"/>
      <c r="E2062" s="241"/>
    </row>
    <row r="2063" spans="1:5" customFormat="1" ht="24.95" customHeight="1" x14ac:dyDescent="0.25">
      <c r="A2063" s="241"/>
      <c r="B2063" s="243"/>
      <c r="C2063" s="241"/>
      <c r="D2063" s="241"/>
      <c r="E2063" s="241"/>
    </row>
    <row r="2064" spans="1:5" customFormat="1" ht="24.95" customHeight="1" x14ac:dyDescent="0.25">
      <c r="A2064" s="241"/>
      <c r="B2064" s="243"/>
      <c r="C2064" s="241"/>
      <c r="D2064" s="241"/>
      <c r="E2064" s="241"/>
    </row>
    <row r="2065" spans="1:5" customFormat="1" ht="24.95" customHeight="1" x14ac:dyDescent="0.25">
      <c r="A2065" s="241"/>
      <c r="B2065" s="243"/>
      <c r="C2065" s="241"/>
      <c r="D2065" s="241"/>
      <c r="E2065" s="241"/>
    </row>
    <row r="2066" spans="1:5" customFormat="1" ht="24.95" customHeight="1" x14ac:dyDescent="0.25">
      <c r="A2066" s="241"/>
      <c r="B2066" s="243"/>
      <c r="C2066" s="241"/>
      <c r="D2066" s="241"/>
      <c r="E2066" s="241"/>
    </row>
    <row r="2067" spans="1:5" customFormat="1" ht="24.95" customHeight="1" x14ac:dyDescent="0.25">
      <c r="A2067" s="241"/>
      <c r="B2067" s="243"/>
      <c r="C2067" s="241"/>
      <c r="D2067" s="241"/>
      <c r="E2067" s="241"/>
    </row>
    <row r="2068" spans="1:5" customFormat="1" ht="24.95" customHeight="1" x14ac:dyDescent="0.25">
      <c r="A2068" s="241"/>
      <c r="B2068" s="243"/>
      <c r="C2068" s="241"/>
      <c r="D2068" s="241"/>
      <c r="E2068" s="241"/>
    </row>
    <row r="2069" spans="1:5" customFormat="1" ht="24.95" customHeight="1" x14ac:dyDescent="0.25">
      <c r="A2069" s="241"/>
      <c r="B2069" s="243"/>
      <c r="C2069" s="241"/>
      <c r="D2069" s="241"/>
      <c r="E2069" s="241"/>
    </row>
    <row r="2070" spans="1:5" customFormat="1" ht="24.95" customHeight="1" x14ac:dyDescent="0.25">
      <c r="A2070" s="241"/>
      <c r="B2070" s="243"/>
      <c r="C2070" s="241"/>
      <c r="D2070" s="241"/>
      <c r="E2070" s="241"/>
    </row>
    <row r="2071" spans="1:5" customFormat="1" ht="24.95" customHeight="1" x14ac:dyDescent="0.25">
      <c r="A2071" s="241"/>
      <c r="B2071" s="243"/>
      <c r="C2071" s="241"/>
      <c r="D2071" s="241"/>
      <c r="E2071" s="241"/>
    </row>
    <row r="2072" spans="1:5" customFormat="1" ht="24.95" customHeight="1" x14ac:dyDescent="0.25">
      <c r="A2072" s="241"/>
      <c r="B2072" s="243"/>
      <c r="C2072" s="241"/>
      <c r="D2072" s="241"/>
      <c r="E2072" s="241"/>
    </row>
    <row r="2073" spans="1:5" customFormat="1" ht="24.95" customHeight="1" x14ac:dyDescent="0.25">
      <c r="A2073" s="241"/>
      <c r="B2073" s="243"/>
      <c r="C2073" s="241"/>
      <c r="D2073" s="241"/>
      <c r="E2073" s="241"/>
    </row>
    <row r="2074" spans="1:5" customFormat="1" ht="24.95" customHeight="1" x14ac:dyDescent="0.25">
      <c r="A2074" s="241"/>
      <c r="B2074" s="243"/>
      <c r="C2074" s="241"/>
      <c r="D2074" s="241"/>
      <c r="E2074" s="241"/>
    </row>
    <row r="2075" spans="1:5" customFormat="1" ht="24.95" customHeight="1" x14ac:dyDescent="0.25">
      <c r="A2075" s="241"/>
      <c r="B2075" s="243"/>
      <c r="C2075" s="241"/>
      <c r="D2075" s="241"/>
      <c r="E2075" s="241"/>
    </row>
    <row r="2076" spans="1:5" customFormat="1" ht="24.95" customHeight="1" x14ac:dyDescent="0.25">
      <c r="A2076" s="241"/>
      <c r="B2076" s="243"/>
      <c r="C2076" s="241"/>
      <c r="D2076" s="241"/>
      <c r="E2076" s="241"/>
    </row>
    <row r="2077" spans="1:5" customFormat="1" ht="24.95" customHeight="1" x14ac:dyDescent="0.25">
      <c r="A2077" s="241"/>
      <c r="B2077" s="243"/>
      <c r="C2077" s="241"/>
      <c r="D2077" s="241"/>
      <c r="E2077" s="241"/>
    </row>
    <row r="2078" spans="1:5" customFormat="1" ht="24.95" customHeight="1" x14ac:dyDescent="0.25">
      <c r="A2078" s="241"/>
      <c r="B2078" s="243"/>
      <c r="C2078" s="241"/>
      <c r="D2078" s="241"/>
      <c r="E2078" s="241"/>
    </row>
    <row r="2079" spans="1:5" customFormat="1" ht="24.95" customHeight="1" x14ac:dyDescent="0.25">
      <c r="A2079" s="241"/>
      <c r="B2079" s="243"/>
      <c r="C2079" s="241"/>
      <c r="D2079" s="241"/>
      <c r="E2079" s="241"/>
    </row>
    <row r="2080" spans="1:5" customFormat="1" ht="24.95" customHeight="1" x14ac:dyDescent="0.25">
      <c r="A2080" s="241"/>
      <c r="B2080" s="243"/>
      <c r="C2080" s="241"/>
      <c r="D2080" s="241"/>
      <c r="E2080" s="241"/>
    </row>
    <row r="2081" spans="1:5" customFormat="1" ht="24.95" customHeight="1" x14ac:dyDescent="0.25">
      <c r="A2081" s="241"/>
      <c r="B2081" s="243"/>
      <c r="C2081" s="241"/>
      <c r="D2081" s="241"/>
      <c r="E2081" s="241"/>
    </row>
    <row r="2082" spans="1:5" customFormat="1" ht="24.95" customHeight="1" x14ac:dyDescent="0.25">
      <c r="A2082" s="241"/>
      <c r="B2082" s="243"/>
      <c r="C2082" s="241"/>
      <c r="D2082" s="241"/>
      <c r="E2082" s="241"/>
    </row>
    <row r="2083" spans="1:5" customFormat="1" ht="24.95" customHeight="1" x14ac:dyDescent="0.25">
      <c r="A2083" s="241"/>
      <c r="B2083" s="243"/>
      <c r="C2083" s="241"/>
      <c r="D2083" s="241"/>
      <c r="E2083" s="241"/>
    </row>
    <row r="2084" spans="1:5" customFormat="1" ht="24.95" customHeight="1" x14ac:dyDescent="0.25">
      <c r="A2084" s="241"/>
      <c r="B2084" s="243"/>
      <c r="C2084" s="241"/>
      <c r="D2084" s="241"/>
      <c r="E2084" s="241"/>
    </row>
    <row r="2085" spans="1:5" customFormat="1" ht="24.95" customHeight="1" x14ac:dyDescent="0.25">
      <c r="A2085" s="241"/>
      <c r="B2085" s="243"/>
      <c r="C2085" s="241"/>
      <c r="D2085" s="241"/>
      <c r="E2085" s="241"/>
    </row>
    <row r="2086" spans="1:5" customFormat="1" ht="24.95" customHeight="1" x14ac:dyDescent="0.25">
      <c r="A2086" s="241"/>
      <c r="B2086" s="243"/>
      <c r="C2086" s="241"/>
      <c r="D2086" s="241"/>
      <c r="E2086" s="241"/>
    </row>
    <row r="2087" spans="1:5" customFormat="1" ht="24.95" customHeight="1" x14ac:dyDescent="0.25">
      <c r="A2087" s="241"/>
      <c r="B2087" s="243"/>
      <c r="C2087" s="241"/>
      <c r="D2087" s="241"/>
      <c r="E2087" s="241"/>
    </row>
    <row r="2088" spans="1:5" customFormat="1" ht="24.95" customHeight="1" x14ac:dyDescent="0.25">
      <c r="A2088" s="241"/>
      <c r="B2088" s="243"/>
      <c r="C2088" s="241"/>
      <c r="D2088" s="241"/>
      <c r="E2088" s="241"/>
    </row>
    <row r="2089" spans="1:5" customFormat="1" ht="24.95" customHeight="1" x14ac:dyDescent="0.25">
      <c r="A2089" s="241"/>
      <c r="B2089" s="243"/>
      <c r="C2089" s="241"/>
      <c r="D2089" s="241"/>
      <c r="E2089" s="241"/>
    </row>
    <row r="2090" spans="1:5" customFormat="1" ht="24.95" customHeight="1" x14ac:dyDescent="0.25">
      <c r="A2090" s="241"/>
      <c r="B2090" s="243"/>
      <c r="C2090" s="241"/>
      <c r="D2090" s="241"/>
      <c r="E2090" s="241"/>
    </row>
    <row r="2091" spans="1:5" customFormat="1" ht="24.95" customHeight="1" x14ac:dyDescent="0.25">
      <c r="A2091" s="241"/>
      <c r="B2091" s="243"/>
      <c r="C2091" s="241"/>
      <c r="D2091" s="241"/>
      <c r="E2091" s="241"/>
    </row>
    <row r="2092" spans="1:5" customFormat="1" ht="24.95" customHeight="1" x14ac:dyDescent="0.25">
      <c r="A2092" s="241"/>
      <c r="B2092" s="243"/>
      <c r="C2092" s="241"/>
      <c r="D2092" s="241"/>
      <c r="E2092" s="241"/>
    </row>
    <row r="2093" spans="1:5" customFormat="1" ht="24.95" customHeight="1" x14ac:dyDescent="0.25">
      <c r="A2093" s="241"/>
      <c r="B2093" s="243"/>
      <c r="C2093" s="241"/>
      <c r="D2093" s="241"/>
      <c r="E2093" s="241"/>
    </row>
    <row r="2094" spans="1:5" customFormat="1" ht="24.95" customHeight="1" x14ac:dyDescent="0.25">
      <c r="A2094" s="241"/>
      <c r="B2094" s="243"/>
      <c r="C2094" s="241"/>
      <c r="D2094" s="241"/>
      <c r="E2094" s="241"/>
    </row>
    <row r="2095" spans="1:5" customFormat="1" ht="24.95" customHeight="1" x14ac:dyDescent="0.25">
      <c r="A2095" s="241"/>
      <c r="B2095" s="243"/>
      <c r="C2095" s="241"/>
      <c r="D2095" s="241"/>
      <c r="E2095" s="241"/>
    </row>
    <row r="2096" spans="1:5" customFormat="1" ht="24.95" customHeight="1" x14ac:dyDescent="0.25">
      <c r="A2096" s="241"/>
      <c r="B2096" s="243"/>
      <c r="C2096" s="241"/>
      <c r="D2096" s="241"/>
      <c r="E2096" s="241"/>
    </row>
    <row r="2097" spans="1:5" customFormat="1" ht="24.95" customHeight="1" x14ac:dyDescent="0.25">
      <c r="A2097" s="241"/>
      <c r="B2097" s="243"/>
      <c r="C2097" s="241"/>
      <c r="D2097" s="241"/>
      <c r="E2097" s="241"/>
    </row>
    <row r="2098" spans="1:5" customFormat="1" ht="24.95" customHeight="1" x14ac:dyDescent="0.25">
      <c r="A2098" s="241"/>
      <c r="B2098" s="243"/>
      <c r="C2098" s="241"/>
      <c r="D2098" s="241"/>
      <c r="E2098" s="241"/>
    </row>
    <row r="2099" spans="1:5" customFormat="1" ht="24.95" customHeight="1" x14ac:dyDescent="0.25">
      <c r="A2099" s="241"/>
      <c r="B2099" s="243"/>
      <c r="C2099" s="241"/>
      <c r="D2099" s="241"/>
      <c r="E2099" s="241"/>
    </row>
    <row r="2100" spans="1:5" customFormat="1" ht="24.95" customHeight="1" x14ac:dyDescent="0.25">
      <c r="A2100" s="241"/>
      <c r="B2100" s="243"/>
      <c r="C2100" s="241"/>
      <c r="D2100" s="241"/>
      <c r="E2100" s="241"/>
    </row>
    <row r="2101" spans="1:5" customFormat="1" ht="24.95" customHeight="1" x14ac:dyDescent="0.25">
      <c r="A2101" s="241"/>
      <c r="B2101" s="243"/>
      <c r="C2101" s="241"/>
      <c r="D2101" s="241"/>
      <c r="E2101" s="241"/>
    </row>
    <row r="2102" spans="1:5" customFormat="1" ht="24.95" customHeight="1" x14ac:dyDescent="0.25">
      <c r="A2102" s="241"/>
      <c r="B2102" s="243"/>
      <c r="C2102" s="241"/>
      <c r="D2102" s="241"/>
      <c r="E2102" s="241"/>
    </row>
    <row r="2103" spans="1:5" customFormat="1" ht="24.95" customHeight="1" x14ac:dyDescent="0.25">
      <c r="A2103" s="241"/>
      <c r="B2103" s="243"/>
      <c r="C2103" s="241"/>
      <c r="D2103" s="241"/>
      <c r="E2103" s="241"/>
    </row>
    <row r="2104" spans="1:5" customFormat="1" ht="24.95" customHeight="1" x14ac:dyDescent="0.25">
      <c r="A2104" s="241"/>
      <c r="B2104" s="243"/>
      <c r="C2104" s="241"/>
      <c r="D2104" s="241"/>
      <c r="E2104" s="241"/>
    </row>
    <row r="2105" spans="1:5" customFormat="1" ht="24.95" customHeight="1" x14ac:dyDescent="0.25">
      <c r="A2105" s="241"/>
      <c r="B2105" s="243"/>
      <c r="C2105" s="241"/>
      <c r="D2105" s="241"/>
      <c r="E2105" s="241"/>
    </row>
    <row r="2106" spans="1:5" customFormat="1" ht="24.95" customHeight="1" x14ac:dyDescent="0.25">
      <c r="A2106" s="241"/>
      <c r="B2106" s="243"/>
      <c r="C2106" s="241"/>
      <c r="D2106" s="241"/>
      <c r="E2106" s="241"/>
    </row>
    <row r="2107" spans="1:5" customFormat="1" ht="24.95" customHeight="1" x14ac:dyDescent="0.25">
      <c r="A2107" s="241"/>
      <c r="B2107" s="243"/>
      <c r="C2107" s="241"/>
      <c r="D2107" s="241"/>
      <c r="E2107" s="241"/>
    </row>
    <row r="2108" spans="1:5" customFormat="1" ht="24.95" customHeight="1" x14ac:dyDescent="0.25">
      <c r="A2108" s="241"/>
      <c r="B2108" s="243"/>
      <c r="C2108" s="241"/>
      <c r="D2108" s="241"/>
      <c r="E2108" s="241"/>
    </row>
    <row r="2109" spans="1:5" customFormat="1" ht="24.95" customHeight="1" x14ac:dyDescent="0.25">
      <c r="A2109" s="241"/>
      <c r="B2109" s="243"/>
      <c r="C2109" s="241"/>
      <c r="D2109" s="241"/>
      <c r="E2109" s="241"/>
    </row>
    <row r="2110" spans="1:5" customFormat="1" ht="24.95" customHeight="1" x14ac:dyDescent="0.25">
      <c r="A2110" s="241"/>
      <c r="B2110" s="243"/>
      <c r="C2110" s="241"/>
      <c r="D2110" s="241"/>
      <c r="E2110" s="241"/>
    </row>
    <row r="2111" spans="1:5" customFormat="1" ht="24.95" customHeight="1" x14ac:dyDescent="0.25">
      <c r="A2111" s="241"/>
      <c r="B2111" s="243"/>
      <c r="C2111" s="241"/>
      <c r="D2111" s="241"/>
      <c r="E2111" s="241"/>
    </row>
    <row r="2112" spans="1:5" customFormat="1" ht="24.95" customHeight="1" x14ac:dyDescent="0.25">
      <c r="A2112" s="241"/>
      <c r="B2112" s="243"/>
      <c r="C2112" s="241"/>
      <c r="D2112" s="241"/>
      <c r="E2112" s="241"/>
    </row>
    <row r="2113" spans="1:5" customFormat="1" ht="24.95" customHeight="1" x14ac:dyDescent="0.25">
      <c r="A2113" s="241"/>
      <c r="B2113" s="243"/>
      <c r="C2113" s="241"/>
      <c r="D2113" s="241"/>
      <c r="E2113" s="241"/>
    </row>
    <row r="2114" spans="1:5" customFormat="1" ht="24.95" customHeight="1" x14ac:dyDescent="0.25">
      <c r="A2114" s="241"/>
      <c r="B2114" s="243"/>
      <c r="C2114" s="241"/>
      <c r="D2114" s="241"/>
      <c r="E2114" s="241"/>
    </row>
    <row r="2115" spans="1:5" customFormat="1" ht="24.95" customHeight="1" x14ac:dyDescent="0.25">
      <c r="A2115" s="241"/>
      <c r="B2115" s="243"/>
      <c r="C2115" s="241"/>
      <c r="D2115" s="241"/>
      <c r="E2115" s="241"/>
    </row>
    <row r="2116" spans="1:5" customFormat="1" ht="24.95" customHeight="1" x14ac:dyDescent="0.25">
      <c r="A2116" s="241"/>
      <c r="B2116" s="243"/>
      <c r="C2116" s="241"/>
      <c r="D2116" s="241"/>
      <c r="E2116" s="241"/>
    </row>
    <row r="2117" spans="1:5" customFormat="1" ht="24.95" customHeight="1" x14ac:dyDescent="0.25">
      <c r="A2117" s="241"/>
      <c r="B2117" s="243"/>
      <c r="C2117" s="241"/>
      <c r="D2117" s="241"/>
      <c r="E2117" s="241"/>
    </row>
    <row r="2118" spans="1:5" customFormat="1" ht="24.95" customHeight="1" x14ac:dyDescent="0.25">
      <c r="A2118" s="241"/>
      <c r="B2118" s="243"/>
      <c r="C2118" s="241"/>
      <c r="D2118" s="241"/>
      <c r="E2118" s="241"/>
    </row>
    <row r="2119" spans="1:5" customFormat="1" ht="24.95" customHeight="1" x14ac:dyDescent="0.25">
      <c r="A2119" s="241"/>
      <c r="B2119" s="243"/>
      <c r="C2119" s="241"/>
      <c r="D2119" s="241"/>
      <c r="E2119" s="241"/>
    </row>
    <row r="2120" spans="1:5" customFormat="1" ht="24.95" customHeight="1" x14ac:dyDescent="0.25">
      <c r="A2120" s="241"/>
      <c r="B2120" s="243"/>
      <c r="C2120" s="241"/>
      <c r="D2120" s="241"/>
      <c r="E2120" s="241"/>
    </row>
    <row r="2121" spans="1:5" customFormat="1" ht="24.95" customHeight="1" x14ac:dyDescent="0.25">
      <c r="A2121" s="241"/>
      <c r="B2121" s="243"/>
      <c r="C2121" s="241"/>
      <c r="D2121" s="241"/>
      <c r="E2121" s="241"/>
    </row>
    <row r="2122" spans="1:5" customFormat="1" ht="24.95" customHeight="1" x14ac:dyDescent="0.25">
      <c r="A2122" s="241"/>
      <c r="B2122" s="243"/>
      <c r="C2122" s="241"/>
      <c r="D2122" s="241"/>
      <c r="E2122" s="241"/>
    </row>
    <row r="2123" spans="1:5" customFormat="1" ht="24.95" customHeight="1" x14ac:dyDescent="0.25">
      <c r="A2123" s="241"/>
      <c r="B2123" s="243"/>
      <c r="C2123" s="241"/>
      <c r="D2123" s="241"/>
      <c r="E2123" s="241"/>
    </row>
    <row r="2124" spans="1:5" customFormat="1" ht="24.95" customHeight="1" x14ac:dyDescent="0.25">
      <c r="A2124" s="241"/>
      <c r="B2124" s="243"/>
      <c r="C2124" s="241"/>
      <c r="D2124" s="241"/>
      <c r="E2124" s="241"/>
    </row>
    <row r="2125" spans="1:5" customFormat="1" ht="24.95" customHeight="1" x14ac:dyDescent="0.25">
      <c r="A2125" s="241"/>
      <c r="B2125" s="243"/>
      <c r="C2125" s="241"/>
      <c r="D2125" s="241"/>
      <c r="E2125" s="241"/>
    </row>
    <row r="2126" spans="1:5" customFormat="1" ht="24.95" customHeight="1" x14ac:dyDescent="0.25">
      <c r="A2126" s="241"/>
      <c r="B2126" s="243"/>
      <c r="C2126" s="241"/>
      <c r="D2126" s="241"/>
      <c r="E2126" s="241"/>
    </row>
    <row r="2127" spans="1:5" customFormat="1" ht="24.95" customHeight="1" x14ac:dyDescent="0.25">
      <c r="A2127" s="241"/>
      <c r="B2127" s="243"/>
      <c r="C2127" s="241"/>
      <c r="D2127" s="241"/>
      <c r="E2127" s="241"/>
    </row>
    <row r="2128" spans="1:5" customFormat="1" ht="24.95" customHeight="1" x14ac:dyDescent="0.25">
      <c r="A2128" s="241"/>
      <c r="B2128" s="243"/>
      <c r="C2128" s="241"/>
      <c r="D2128" s="241"/>
      <c r="E2128" s="241"/>
    </row>
    <row r="2129" spans="1:5" customFormat="1" ht="24.95" customHeight="1" x14ac:dyDescent="0.25">
      <c r="A2129" s="241"/>
      <c r="B2129" s="243"/>
      <c r="C2129" s="241"/>
      <c r="D2129" s="241"/>
      <c r="E2129" s="241"/>
    </row>
    <row r="2130" spans="1:5" customFormat="1" ht="24.95" customHeight="1" x14ac:dyDescent="0.25">
      <c r="A2130" s="241"/>
      <c r="B2130" s="243"/>
      <c r="C2130" s="241"/>
      <c r="D2130" s="241"/>
      <c r="E2130" s="241"/>
    </row>
    <row r="2131" spans="1:5" customFormat="1" ht="24.95" customHeight="1" x14ac:dyDescent="0.25">
      <c r="A2131" s="241"/>
      <c r="B2131" s="243"/>
      <c r="C2131" s="241"/>
      <c r="D2131" s="241"/>
      <c r="E2131" s="241"/>
    </row>
    <row r="2132" spans="1:5" customFormat="1" ht="24.95" customHeight="1" x14ac:dyDescent="0.25">
      <c r="A2132" s="241"/>
      <c r="B2132" s="243"/>
      <c r="C2132" s="241"/>
      <c r="D2132" s="241"/>
      <c r="E2132" s="241"/>
    </row>
    <row r="2133" spans="1:5" customFormat="1" ht="24.95" customHeight="1" x14ac:dyDescent="0.25">
      <c r="A2133" s="241"/>
      <c r="B2133" s="243"/>
      <c r="C2133" s="241"/>
      <c r="D2133" s="241"/>
      <c r="E2133" s="241"/>
    </row>
    <row r="2134" spans="1:5" customFormat="1" ht="24.95" customHeight="1" x14ac:dyDescent="0.25">
      <c r="A2134" s="241"/>
      <c r="B2134" s="243"/>
      <c r="C2134" s="241"/>
      <c r="D2134" s="241"/>
      <c r="E2134" s="241"/>
    </row>
    <row r="2135" spans="1:5" customFormat="1" ht="24.95" customHeight="1" x14ac:dyDescent="0.25">
      <c r="A2135" s="241"/>
      <c r="B2135" s="243"/>
      <c r="C2135" s="241"/>
      <c r="D2135" s="241"/>
      <c r="E2135" s="241"/>
    </row>
    <row r="2136" spans="1:5" customFormat="1" ht="24.95" customHeight="1" x14ac:dyDescent="0.25">
      <c r="A2136" s="241"/>
      <c r="B2136" s="243"/>
      <c r="C2136" s="241"/>
      <c r="D2136" s="241"/>
      <c r="E2136" s="241"/>
    </row>
    <row r="2137" spans="1:5" customFormat="1" ht="24.95" customHeight="1" x14ac:dyDescent="0.25">
      <c r="A2137" s="241"/>
      <c r="B2137" s="243"/>
      <c r="C2137" s="241"/>
      <c r="D2137" s="241"/>
      <c r="E2137" s="241"/>
    </row>
    <row r="2138" spans="1:5" customFormat="1" ht="24.95" customHeight="1" x14ac:dyDescent="0.25">
      <c r="A2138" s="241"/>
      <c r="B2138" s="243"/>
      <c r="C2138" s="241"/>
      <c r="D2138" s="241"/>
      <c r="E2138" s="241"/>
    </row>
    <row r="2139" spans="1:5" customFormat="1" ht="24.95" customHeight="1" x14ac:dyDescent="0.25">
      <c r="A2139" s="241"/>
      <c r="B2139" s="243"/>
      <c r="C2139" s="241"/>
      <c r="D2139" s="241"/>
      <c r="E2139" s="241"/>
    </row>
    <row r="2140" spans="1:5" customFormat="1" ht="24.95" customHeight="1" x14ac:dyDescent="0.25">
      <c r="A2140" s="241"/>
      <c r="B2140" s="243"/>
      <c r="C2140" s="241"/>
      <c r="D2140" s="241"/>
      <c r="E2140" s="241"/>
    </row>
    <row r="2141" spans="1:5" customFormat="1" ht="24.95" customHeight="1" x14ac:dyDescent="0.25">
      <c r="A2141" s="241"/>
      <c r="B2141" s="243"/>
      <c r="C2141" s="241"/>
      <c r="D2141" s="241"/>
      <c r="E2141" s="241"/>
    </row>
    <row r="2142" spans="1:5" customFormat="1" ht="24.95" customHeight="1" x14ac:dyDescent="0.25">
      <c r="A2142" s="241"/>
      <c r="B2142" s="243"/>
      <c r="C2142" s="241"/>
      <c r="D2142" s="241"/>
      <c r="E2142" s="241"/>
    </row>
    <row r="2143" spans="1:5" customFormat="1" ht="24.95" customHeight="1" x14ac:dyDescent="0.25">
      <c r="A2143" s="241"/>
      <c r="B2143" s="243"/>
      <c r="C2143" s="241"/>
      <c r="D2143" s="241"/>
      <c r="E2143" s="241"/>
    </row>
    <row r="2144" spans="1:5" customFormat="1" ht="24.95" customHeight="1" x14ac:dyDescent="0.25">
      <c r="A2144" s="241"/>
      <c r="B2144" s="243"/>
      <c r="C2144" s="241"/>
      <c r="D2144" s="241"/>
      <c r="E2144" s="241"/>
    </row>
    <row r="2145" spans="1:5" customFormat="1" ht="24.95" customHeight="1" x14ac:dyDescent="0.25">
      <c r="A2145" s="241"/>
      <c r="B2145" s="243"/>
      <c r="C2145" s="241"/>
      <c r="D2145" s="241"/>
      <c r="E2145" s="241"/>
    </row>
    <row r="2146" spans="1:5" customFormat="1" ht="24.95" customHeight="1" x14ac:dyDescent="0.25">
      <c r="A2146" s="241"/>
      <c r="B2146" s="243"/>
      <c r="C2146" s="241"/>
      <c r="D2146" s="241"/>
      <c r="E2146" s="241"/>
    </row>
    <row r="2147" spans="1:5" customFormat="1" ht="24.95" customHeight="1" x14ac:dyDescent="0.25">
      <c r="A2147" s="241"/>
      <c r="B2147" s="243"/>
      <c r="C2147" s="241"/>
      <c r="D2147" s="241"/>
      <c r="E2147" s="241"/>
    </row>
    <row r="2148" spans="1:5" customFormat="1" ht="24.95" customHeight="1" x14ac:dyDescent="0.25">
      <c r="A2148" s="241"/>
      <c r="B2148" s="243"/>
      <c r="C2148" s="241"/>
      <c r="D2148" s="241"/>
      <c r="E2148" s="241"/>
    </row>
    <row r="2149" spans="1:5" customFormat="1" ht="24.95" customHeight="1" x14ac:dyDescent="0.25">
      <c r="A2149" s="241"/>
      <c r="B2149" s="243"/>
      <c r="C2149" s="241"/>
      <c r="D2149" s="241"/>
      <c r="E2149" s="241"/>
    </row>
    <row r="2150" spans="1:5" customFormat="1" ht="24.95" customHeight="1" x14ac:dyDescent="0.25">
      <c r="A2150" s="241"/>
      <c r="B2150" s="243"/>
      <c r="C2150" s="241"/>
      <c r="D2150" s="241"/>
      <c r="E2150" s="241"/>
    </row>
    <row r="2151" spans="1:5" customFormat="1" ht="24.95" customHeight="1" x14ac:dyDescent="0.25">
      <c r="A2151" s="241"/>
      <c r="B2151" s="243"/>
      <c r="C2151" s="241"/>
      <c r="D2151" s="241"/>
      <c r="E2151" s="241"/>
    </row>
    <row r="2152" spans="1:5" customFormat="1" ht="24.95" customHeight="1" x14ac:dyDescent="0.25">
      <c r="A2152" s="241"/>
      <c r="B2152" s="243"/>
      <c r="C2152" s="241"/>
      <c r="D2152" s="241"/>
      <c r="E2152" s="241"/>
    </row>
    <row r="2153" spans="1:5" customFormat="1" ht="24.95" customHeight="1" x14ac:dyDescent="0.25">
      <c r="A2153" s="241"/>
      <c r="B2153" s="243"/>
      <c r="C2153" s="241"/>
      <c r="D2153" s="241"/>
      <c r="E2153" s="241"/>
    </row>
    <row r="2154" spans="1:5" customFormat="1" ht="24.95" customHeight="1" x14ac:dyDescent="0.25">
      <c r="A2154" s="241"/>
      <c r="B2154" s="243"/>
      <c r="C2154" s="241"/>
      <c r="D2154" s="241"/>
      <c r="E2154" s="241"/>
    </row>
    <row r="2155" spans="1:5" customFormat="1" ht="24.95" customHeight="1" x14ac:dyDescent="0.25">
      <c r="A2155" s="241"/>
      <c r="B2155" s="243"/>
      <c r="C2155" s="241"/>
      <c r="D2155" s="241"/>
      <c r="E2155" s="241"/>
    </row>
    <row r="2156" spans="1:5" customFormat="1" ht="24.95" customHeight="1" x14ac:dyDescent="0.25">
      <c r="A2156" s="241"/>
      <c r="B2156" s="243"/>
      <c r="C2156" s="241"/>
      <c r="D2156" s="241"/>
      <c r="E2156" s="241"/>
    </row>
    <row r="2157" spans="1:5" customFormat="1" ht="24.95" customHeight="1" x14ac:dyDescent="0.25">
      <c r="A2157" s="241"/>
      <c r="B2157" s="243"/>
      <c r="C2157" s="241"/>
      <c r="D2157" s="241"/>
      <c r="E2157" s="241"/>
    </row>
    <row r="2158" spans="1:5" customFormat="1" ht="24.95" customHeight="1" x14ac:dyDescent="0.25">
      <c r="A2158" s="241"/>
      <c r="B2158" s="243"/>
      <c r="C2158" s="241"/>
      <c r="D2158" s="241"/>
      <c r="E2158" s="241"/>
    </row>
    <row r="2159" spans="1:5" customFormat="1" ht="24.95" customHeight="1" x14ac:dyDescent="0.25">
      <c r="A2159" s="241"/>
      <c r="B2159" s="243"/>
      <c r="C2159" s="241"/>
      <c r="D2159" s="241"/>
      <c r="E2159" s="241"/>
    </row>
    <row r="2160" spans="1:5" customFormat="1" ht="24.95" customHeight="1" x14ac:dyDescent="0.25">
      <c r="A2160" s="241"/>
      <c r="B2160" s="243"/>
      <c r="C2160" s="241"/>
      <c r="D2160" s="241"/>
      <c r="E2160" s="241"/>
    </row>
    <row r="2161" spans="1:5" customFormat="1" ht="24.95" customHeight="1" x14ac:dyDescent="0.25">
      <c r="A2161" s="241"/>
      <c r="B2161" s="243"/>
      <c r="C2161" s="241"/>
      <c r="D2161" s="241"/>
      <c r="E2161" s="241"/>
    </row>
    <row r="2162" spans="1:5" customFormat="1" ht="24.95" customHeight="1" x14ac:dyDescent="0.25">
      <c r="A2162" s="241"/>
      <c r="B2162" s="243"/>
      <c r="C2162" s="241"/>
      <c r="D2162" s="241"/>
      <c r="E2162" s="241"/>
    </row>
    <row r="2163" spans="1:5" customFormat="1" ht="24.95" customHeight="1" x14ac:dyDescent="0.25">
      <c r="A2163" s="241"/>
      <c r="B2163" s="243"/>
      <c r="C2163" s="241"/>
      <c r="D2163" s="241"/>
      <c r="E2163" s="241"/>
    </row>
    <row r="2164" spans="1:5" customFormat="1" ht="24.95" customHeight="1" x14ac:dyDescent="0.25">
      <c r="A2164" s="241"/>
      <c r="B2164" s="243"/>
      <c r="C2164" s="241"/>
      <c r="D2164" s="241"/>
      <c r="E2164" s="241"/>
    </row>
    <row r="2165" spans="1:5" customFormat="1" ht="24.95" customHeight="1" x14ac:dyDescent="0.25">
      <c r="A2165" s="241"/>
      <c r="B2165" s="243"/>
      <c r="C2165" s="241"/>
      <c r="D2165" s="241"/>
      <c r="E2165" s="241"/>
    </row>
    <row r="2166" spans="1:5" customFormat="1" ht="24.95" customHeight="1" x14ac:dyDescent="0.25">
      <c r="A2166" s="241"/>
      <c r="B2166" s="243"/>
      <c r="C2166" s="241"/>
      <c r="D2166" s="241"/>
      <c r="E2166" s="241"/>
    </row>
    <row r="2167" spans="1:5" customFormat="1" ht="24.95" customHeight="1" x14ac:dyDescent="0.25">
      <c r="A2167" s="241"/>
      <c r="B2167" s="243"/>
      <c r="C2167" s="241"/>
      <c r="D2167" s="241"/>
      <c r="E2167" s="241"/>
    </row>
    <row r="2168" spans="1:5" customFormat="1" ht="24.95" customHeight="1" x14ac:dyDescent="0.25">
      <c r="A2168" s="241"/>
      <c r="B2168" s="243"/>
      <c r="C2168" s="241"/>
      <c r="D2168" s="241"/>
      <c r="E2168" s="241"/>
    </row>
    <row r="2169" spans="1:5" customFormat="1" ht="24.95" customHeight="1" x14ac:dyDescent="0.25">
      <c r="A2169" s="241"/>
      <c r="B2169" s="243"/>
      <c r="C2169" s="241"/>
      <c r="D2169" s="241"/>
      <c r="E2169" s="241"/>
    </row>
    <row r="2170" spans="1:5" customFormat="1" ht="24.95" customHeight="1" x14ac:dyDescent="0.25">
      <c r="A2170" s="241"/>
      <c r="B2170" s="243"/>
      <c r="C2170" s="241"/>
      <c r="D2170" s="241"/>
      <c r="E2170" s="241"/>
    </row>
    <row r="2171" spans="1:5" customFormat="1" ht="24.95" customHeight="1" x14ac:dyDescent="0.25">
      <c r="A2171" s="241"/>
      <c r="B2171" s="243"/>
      <c r="C2171" s="241"/>
      <c r="D2171" s="241"/>
      <c r="E2171" s="241"/>
    </row>
    <row r="2172" spans="1:5" customFormat="1" ht="24.95" customHeight="1" x14ac:dyDescent="0.25">
      <c r="A2172" s="241"/>
      <c r="B2172" s="243"/>
      <c r="C2172" s="241"/>
      <c r="D2172" s="241"/>
      <c r="E2172" s="241"/>
    </row>
    <row r="2173" spans="1:5" customFormat="1" ht="24.95" customHeight="1" x14ac:dyDescent="0.25">
      <c r="A2173" s="241"/>
      <c r="B2173" s="243"/>
      <c r="C2173" s="241"/>
      <c r="D2173" s="241"/>
      <c r="E2173" s="241"/>
    </row>
    <row r="2174" spans="1:5" customFormat="1" ht="24.95" customHeight="1" x14ac:dyDescent="0.25">
      <c r="A2174" s="241"/>
      <c r="B2174" s="243"/>
      <c r="C2174" s="241"/>
      <c r="D2174" s="241"/>
      <c r="E2174" s="241"/>
    </row>
    <row r="2175" spans="1:5" customFormat="1" ht="24.95" customHeight="1" x14ac:dyDescent="0.25">
      <c r="A2175" s="241"/>
      <c r="B2175" s="243"/>
      <c r="C2175" s="241"/>
      <c r="D2175" s="241"/>
      <c r="E2175" s="241"/>
    </row>
    <row r="2176" spans="1:5" customFormat="1" ht="24.95" customHeight="1" x14ac:dyDescent="0.25">
      <c r="A2176" s="241"/>
      <c r="B2176" s="243"/>
      <c r="C2176" s="241"/>
      <c r="D2176" s="241"/>
      <c r="E2176" s="241"/>
    </row>
    <row r="2177" spans="1:5" customFormat="1" ht="24.95" customHeight="1" x14ac:dyDescent="0.25">
      <c r="A2177" s="241"/>
      <c r="B2177" s="243"/>
      <c r="C2177" s="241"/>
      <c r="D2177" s="241"/>
      <c r="E2177" s="241"/>
    </row>
    <row r="2178" spans="1:5" customFormat="1" ht="24.95" customHeight="1" x14ac:dyDescent="0.25">
      <c r="A2178" s="241"/>
      <c r="B2178" s="243"/>
      <c r="C2178" s="241"/>
      <c r="D2178" s="241"/>
      <c r="E2178" s="241"/>
    </row>
    <row r="2179" spans="1:5" customFormat="1" ht="24.95" customHeight="1" x14ac:dyDescent="0.25">
      <c r="A2179" s="241"/>
      <c r="B2179" s="243"/>
      <c r="C2179" s="241"/>
      <c r="D2179" s="241"/>
      <c r="E2179" s="241"/>
    </row>
    <row r="2180" spans="1:5" customFormat="1" ht="24.95" customHeight="1" x14ac:dyDescent="0.25">
      <c r="A2180" s="241"/>
      <c r="B2180" s="243"/>
      <c r="C2180" s="241"/>
      <c r="D2180" s="241"/>
      <c r="E2180" s="241"/>
    </row>
    <row r="2181" spans="1:5" customFormat="1" ht="24.95" customHeight="1" x14ac:dyDescent="0.25">
      <c r="A2181" s="241"/>
      <c r="B2181" s="243"/>
      <c r="C2181" s="241"/>
      <c r="D2181" s="241"/>
      <c r="E2181" s="241"/>
    </row>
    <row r="2182" spans="1:5" customFormat="1" ht="24.95" customHeight="1" x14ac:dyDescent="0.25">
      <c r="A2182" s="241"/>
      <c r="B2182" s="243"/>
      <c r="C2182" s="241"/>
      <c r="D2182" s="241"/>
      <c r="E2182" s="241"/>
    </row>
    <row r="2183" spans="1:5" customFormat="1" ht="24.95" customHeight="1" x14ac:dyDescent="0.25">
      <c r="A2183" s="241"/>
      <c r="B2183" s="243"/>
      <c r="C2183" s="241"/>
      <c r="D2183" s="241"/>
      <c r="E2183" s="241"/>
    </row>
    <row r="2184" spans="1:5" customFormat="1" ht="24.95" customHeight="1" x14ac:dyDescent="0.25">
      <c r="A2184" s="241"/>
      <c r="B2184" s="243"/>
      <c r="C2184" s="241"/>
      <c r="D2184" s="241"/>
      <c r="E2184" s="241"/>
    </row>
    <row r="2185" spans="1:5" customFormat="1" ht="24.95" customHeight="1" x14ac:dyDescent="0.25">
      <c r="A2185" s="241"/>
      <c r="B2185" s="243"/>
      <c r="C2185" s="241"/>
      <c r="D2185" s="241"/>
      <c r="E2185" s="241"/>
    </row>
    <row r="2186" spans="1:5" customFormat="1" ht="24.95" customHeight="1" x14ac:dyDescent="0.25">
      <c r="A2186" s="241"/>
      <c r="B2186" s="243"/>
      <c r="C2186" s="241"/>
      <c r="D2186" s="241"/>
      <c r="E2186" s="241"/>
    </row>
    <row r="2187" spans="1:5" customFormat="1" ht="24.95" customHeight="1" x14ac:dyDescent="0.25">
      <c r="A2187" s="241"/>
      <c r="B2187" s="243"/>
      <c r="C2187" s="241"/>
      <c r="D2187" s="241"/>
      <c r="E2187" s="241"/>
    </row>
    <row r="2188" spans="1:5" customFormat="1" ht="24.95" customHeight="1" x14ac:dyDescent="0.25">
      <c r="A2188" s="241"/>
      <c r="B2188" s="243"/>
      <c r="C2188" s="241"/>
      <c r="D2188" s="241"/>
      <c r="E2188" s="241"/>
    </row>
    <row r="2189" spans="1:5" customFormat="1" ht="24.95" customHeight="1" x14ac:dyDescent="0.25">
      <c r="A2189" s="241"/>
      <c r="B2189" s="243"/>
      <c r="C2189" s="241"/>
      <c r="D2189" s="241"/>
      <c r="E2189" s="241"/>
    </row>
    <row r="2190" spans="1:5" customFormat="1" ht="24.95" customHeight="1" x14ac:dyDescent="0.25">
      <c r="A2190" s="241"/>
      <c r="B2190" s="243"/>
      <c r="C2190" s="241"/>
      <c r="D2190" s="241"/>
      <c r="E2190" s="241"/>
    </row>
    <row r="2191" spans="1:5" customFormat="1" ht="24.95" customHeight="1" x14ac:dyDescent="0.25">
      <c r="A2191" s="241"/>
      <c r="B2191" s="243"/>
      <c r="C2191" s="241"/>
      <c r="D2191" s="241"/>
      <c r="E2191" s="241"/>
    </row>
    <row r="2192" spans="1:5" customFormat="1" ht="24.95" customHeight="1" x14ac:dyDescent="0.25">
      <c r="A2192" s="241"/>
      <c r="B2192" s="243"/>
      <c r="C2192" s="241"/>
      <c r="D2192" s="241"/>
      <c r="E2192" s="241"/>
    </row>
    <row r="2193" spans="1:5" customFormat="1" ht="24.95" customHeight="1" x14ac:dyDescent="0.25">
      <c r="A2193" s="241"/>
      <c r="B2193" s="243"/>
      <c r="C2193" s="241"/>
      <c r="D2193" s="241"/>
      <c r="E2193" s="241"/>
    </row>
    <row r="2194" spans="1:5" customFormat="1" ht="24.95" customHeight="1" x14ac:dyDescent="0.25">
      <c r="A2194" s="241"/>
      <c r="B2194" s="243"/>
      <c r="C2194" s="241"/>
      <c r="D2194" s="241"/>
      <c r="E2194" s="241"/>
    </row>
    <row r="2195" spans="1:5" customFormat="1" ht="24.95" customHeight="1" x14ac:dyDescent="0.25">
      <c r="A2195" s="241"/>
      <c r="B2195" s="243"/>
      <c r="C2195" s="241"/>
      <c r="D2195" s="241"/>
      <c r="E2195" s="241"/>
    </row>
    <row r="2196" spans="1:5" customFormat="1" ht="24.95" customHeight="1" x14ac:dyDescent="0.25">
      <c r="A2196" s="241"/>
      <c r="B2196" s="243"/>
      <c r="C2196" s="241"/>
      <c r="D2196" s="241"/>
      <c r="E2196" s="241"/>
    </row>
    <row r="2197" spans="1:5" customFormat="1" ht="24.95" customHeight="1" x14ac:dyDescent="0.25">
      <c r="A2197" s="241"/>
      <c r="B2197" s="243"/>
      <c r="C2197" s="241"/>
      <c r="D2197" s="241"/>
      <c r="E2197" s="241"/>
    </row>
    <row r="2198" spans="1:5" customFormat="1" ht="24.95" customHeight="1" x14ac:dyDescent="0.25">
      <c r="A2198" s="241"/>
      <c r="B2198" s="243"/>
      <c r="C2198" s="241"/>
      <c r="D2198" s="241"/>
      <c r="E2198" s="241"/>
    </row>
    <row r="2199" spans="1:5" customFormat="1" ht="24.95" customHeight="1" x14ac:dyDescent="0.25">
      <c r="A2199" s="241"/>
      <c r="B2199" s="243"/>
      <c r="C2199" s="241"/>
      <c r="D2199" s="241"/>
      <c r="E2199" s="241"/>
    </row>
    <row r="2200" spans="1:5" customFormat="1" ht="24.95" customHeight="1" x14ac:dyDescent="0.25">
      <c r="A2200" s="241"/>
      <c r="B2200" s="243"/>
      <c r="C2200" s="241"/>
      <c r="D2200" s="241"/>
      <c r="E2200" s="241"/>
    </row>
    <row r="2201" spans="1:5" customFormat="1" ht="24.95" customHeight="1" x14ac:dyDescent="0.25">
      <c r="A2201" s="241"/>
      <c r="B2201" s="243"/>
      <c r="C2201" s="241"/>
      <c r="D2201" s="241"/>
      <c r="E2201" s="241"/>
    </row>
    <row r="2202" spans="1:5" customFormat="1" ht="24.95" customHeight="1" x14ac:dyDescent="0.25">
      <c r="A2202" s="241"/>
      <c r="B2202" s="243"/>
      <c r="C2202" s="241"/>
      <c r="D2202" s="241"/>
      <c r="E2202" s="241"/>
    </row>
    <row r="2203" spans="1:5" customFormat="1" ht="24.95" customHeight="1" x14ac:dyDescent="0.25">
      <c r="A2203" s="241"/>
      <c r="B2203" s="243"/>
      <c r="C2203" s="241"/>
      <c r="D2203" s="241"/>
      <c r="E2203" s="241"/>
    </row>
    <row r="2204" spans="1:5" customFormat="1" ht="24.95" customHeight="1" x14ac:dyDescent="0.25">
      <c r="A2204" s="241"/>
      <c r="B2204" s="243"/>
      <c r="C2204" s="241"/>
      <c r="D2204" s="241"/>
      <c r="E2204" s="241"/>
    </row>
    <row r="2205" spans="1:5" customFormat="1" ht="24.95" customHeight="1" x14ac:dyDescent="0.25">
      <c r="A2205" s="241"/>
      <c r="B2205" s="243"/>
      <c r="C2205" s="241"/>
      <c r="D2205" s="241"/>
      <c r="E2205" s="241"/>
    </row>
    <row r="2206" spans="1:5" customFormat="1" ht="24.95" customHeight="1" x14ac:dyDescent="0.25">
      <c r="A2206" s="241"/>
      <c r="B2206" s="243"/>
      <c r="C2206" s="241"/>
      <c r="D2206" s="241"/>
      <c r="E2206" s="241"/>
    </row>
    <row r="2207" spans="1:5" customFormat="1" ht="24.95" customHeight="1" x14ac:dyDescent="0.25">
      <c r="A2207" s="241"/>
      <c r="B2207" s="243"/>
      <c r="C2207" s="241"/>
      <c r="D2207" s="241"/>
      <c r="E2207" s="241"/>
    </row>
    <row r="2208" spans="1:5" customFormat="1" ht="24.95" customHeight="1" x14ac:dyDescent="0.25">
      <c r="A2208" s="241"/>
      <c r="B2208" s="243"/>
      <c r="C2208" s="241"/>
      <c r="D2208" s="241"/>
      <c r="E2208" s="241"/>
    </row>
    <row r="2209" spans="1:5" customFormat="1" ht="24.95" customHeight="1" x14ac:dyDescent="0.25">
      <c r="A2209" s="241"/>
      <c r="B2209" s="243"/>
      <c r="C2209" s="241"/>
      <c r="D2209" s="241"/>
      <c r="E2209" s="241"/>
    </row>
    <row r="2210" spans="1:5" customFormat="1" ht="24.95" customHeight="1" x14ac:dyDescent="0.25">
      <c r="A2210" s="241"/>
      <c r="B2210" s="243"/>
      <c r="C2210" s="241"/>
      <c r="D2210" s="241"/>
      <c r="E2210" s="241"/>
    </row>
    <row r="2211" spans="1:5" customFormat="1" ht="24.95" customHeight="1" x14ac:dyDescent="0.25">
      <c r="A2211" s="241"/>
      <c r="B2211" s="243"/>
      <c r="C2211" s="241"/>
      <c r="D2211" s="241"/>
      <c r="E2211" s="241"/>
    </row>
    <row r="2212" spans="1:5" customFormat="1" ht="24.95" customHeight="1" x14ac:dyDescent="0.25">
      <c r="A2212" s="241"/>
      <c r="B2212" s="243"/>
      <c r="C2212" s="241"/>
      <c r="D2212" s="241"/>
      <c r="E2212" s="241"/>
    </row>
    <row r="2213" spans="1:5" customFormat="1" ht="24.95" customHeight="1" x14ac:dyDescent="0.25">
      <c r="A2213" s="241"/>
      <c r="B2213" s="243"/>
      <c r="C2213" s="241"/>
      <c r="D2213" s="241"/>
      <c r="E2213" s="241"/>
    </row>
    <row r="2214" spans="1:5" customFormat="1" ht="24.95" customHeight="1" x14ac:dyDescent="0.25">
      <c r="A2214" s="241"/>
      <c r="B2214" s="243"/>
      <c r="C2214" s="241"/>
      <c r="D2214" s="241"/>
      <c r="E2214" s="241"/>
    </row>
    <row r="2215" spans="1:5" customFormat="1" ht="24.95" customHeight="1" x14ac:dyDescent="0.25">
      <c r="A2215" s="241"/>
      <c r="B2215" s="243"/>
      <c r="C2215" s="241"/>
      <c r="D2215" s="241"/>
      <c r="E2215" s="241"/>
    </row>
    <row r="2216" spans="1:5" customFormat="1" ht="24.95" customHeight="1" x14ac:dyDescent="0.25">
      <c r="A2216" s="241"/>
      <c r="B2216" s="243"/>
      <c r="C2216" s="241"/>
      <c r="D2216" s="241"/>
      <c r="E2216" s="241"/>
    </row>
    <row r="2217" spans="1:5" customFormat="1" ht="24.95" customHeight="1" x14ac:dyDescent="0.25">
      <c r="A2217" s="241"/>
      <c r="B2217" s="243"/>
      <c r="C2217" s="241"/>
      <c r="D2217" s="241"/>
      <c r="E2217" s="241"/>
    </row>
    <row r="2218" spans="1:5" customFormat="1" ht="24.95" customHeight="1" x14ac:dyDescent="0.25">
      <c r="A2218" s="241"/>
      <c r="B2218" s="243"/>
      <c r="C2218" s="241"/>
      <c r="D2218" s="241"/>
      <c r="E2218" s="241"/>
    </row>
    <row r="2219" spans="1:5" customFormat="1" ht="24.95" customHeight="1" x14ac:dyDescent="0.25">
      <c r="A2219" s="241"/>
      <c r="B2219" s="243"/>
      <c r="C2219" s="241"/>
      <c r="D2219" s="241"/>
      <c r="E2219" s="241"/>
    </row>
    <row r="2220" spans="1:5" customFormat="1" ht="24.95" customHeight="1" x14ac:dyDescent="0.25">
      <c r="A2220" s="241"/>
      <c r="B2220" s="243"/>
      <c r="C2220" s="241"/>
      <c r="D2220" s="241"/>
      <c r="E2220" s="241"/>
    </row>
    <row r="2221" spans="1:5" customFormat="1" ht="24.95" customHeight="1" x14ac:dyDescent="0.25">
      <c r="A2221" s="241"/>
      <c r="B2221" s="243"/>
      <c r="C2221" s="241"/>
      <c r="D2221" s="241"/>
      <c r="E2221" s="241"/>
    </row>
    <row r="2222" spans="1:5" customFormat="1" ht="24.95" customHeight="1" x14ac:dyDescent="0.25">
      <c r="A2222" s="241"/>
      <c r="B2222" s="243"/>
      <c r="C2222" s="241"/>
      <c r="D2222" s="241"/>
      <c r="E2222" s="241"/>
    </row>
    <row r="2223" spans="1:5" customFormat="1" ht="24.95" customHeight="1" x14ac:dyDescent="0.25">
      <c r="A2223" s="241"/>
      <c r="B2223" s="243"/>
      <c r="C2223" s="241"/>
      <c r="D2223" s="241"/>
      <c r="E2223" s="241"/>
    </row>
    <row r="2224" spans="1:5" customFormat="1" ht="24.95" customHeight="1" x14ac:dyDescent="0.25">
      <c r="A2224" s="241"/>
      <c r="B2224" s="243"/>
      <c r="C2224" s="241"/>
      <c r="D2224" s="241"/>
      <c r="E2224" s="241"/>
    </row>
    <row r="2225" spans="1:5" customFormat="1" ht="24.95" customHeight="1" x14ac:dyDescent="0.25">
      <c r="A2225" s="241"/>
      <c r="B2225" s="243"/>
      <c r="C2225" s="241"/>
      <c r="D2225" s="241"/>
      <c r="E2225" s="241"/>
    </row>
    <row r="2226" spans="1:5" customFormat="1" ht="24.95" customHeight="1" x14ac:dyDescent="0.25">
      <c r="A2226" s="241"/>
      <c r="B2226" s="243"/>
      <c r="C2226" s="241"/>
      <c r="D2226" s="241"/>
      <c r="E2226" s="241"/>
    </row>
    <row r="2227" spans="1:5" customFormat="1" ht="24.95" customHeight="1" x14ac:dyDescent="0.25">
      <c r="A2227" s="241"/>
      <c r="B2227" s="243"/>
      <c r="C2227" s="241"/>
      <c r="D2227" s="241"/>
      <c r="E2227" s="241"/>
    </row>
    <row r="2228" spans="1:5" customFormat="1" ht="24.95" customHeight="1" x14ac:dyDescent="0.25">
      <c r="A2228" s="241"/>
      <c r="B2228" s="243"/>
      <c r="C2228" s="241"/>
      <c r="D2228" s="241"/>
      <c r="E2228" s="241"/>
    </row>
    <row r="2229" spans="1:5" customFormat="1" ht="24.95" customHeight="1" x14ac:dyDescent="0.25">
      <c r="A2229" s="241"/>
      <c r="B2229" s="243"/>
      <c r="C2229" s="241"/>
      <c r="D2229" s="241"/>
      <c r="E2229" s="241"/>
    </row>
    <row r="2230" spans="1:5" customFormat="1" ht="24.95" customHeight="1" x14ac:dyDescent="0.25">
      <c r="A2230" s="241"/>
      <c r="B2230" s="243"/>
      <c r="C2230" s="241"/>
      <c r="D2230" s="241"/>
      <c r="E2230" s="241"/>
    </row>
    <row r="2231" spans="1:5" customFormat="1" ht="24.95" customHeight="1" x14ac:dyDescent="0.25">
      <c r="A2231" s="241"/>
      <c r="B2231" s="243"/>
      <c r="C2231" s="241"/>
      <c r="D2231" s="241"/>
      <c r="E2231" s="241"/>
    </row>
    <row r="2232" spans="1:5" customFormat="1" ht="24.95" customHeight="1" x14ac:dyDescent="0.25">
      <c r="A2232" s="241"/>
      <c r="B2232" s="243"/>
      <c r="C2232" s="241"/>
      <c r="D2232" s="241"/>
      <c r="E2232" s="241"/>
    </row>
    <row r="2233" spans="1:5" customFormat="1" ht="24.95" customHeight="1" x14ac:dyDescent="0.25">
      <c r="A2233" s="241"/>
      <c r="B2233" s="243"/>
      <c r="C2233" s="241"/>
      <c r="D2233" s="241"/>
      <c r="E2233" s="241"/>
    </row>
    <row r="2234" spans="1:5" customFormat="1" ht="24.95" customHeight="1" x14ac:dyDescent="0.25">
      <c r="A2234" s="241"/>
      <c r="B2234" s="243"/>
      <c r="C2234" s="241"/>
      <c r="D2234" s="241"/>
      <c r="E2234" s="241"/>
    </row>
    <row r="2235" spans="1:5" customFormat="1" ht="24.95" customHeight="1" x14ac:dyDescent="0.25">
      <c r="A2235" s="241"/>
      <c r="B2235" s="243"/>
      <c r="C2235" s="241"/>
      <c r="D2235" s="241"/>
      <c r="E2235" s="241"/>
    </row>
    <row r="2236" spans="1:5" customFormat="1" ht="24.95" customHeight="1" x14ac:dyDescent="0.25">
      <c r="A2236" s="241"/>
      <c r="B2236" s="243"/>
      <c r="C2236" s="241"/>
      <c r="D2236" s="241"/>
      <c r="E2236" s="241"/>
    </row>
    <row r="2237" spans="1:5" customFormat="1" ht="24.95" customHeight="1" x14ac:dyDescent="0.25">
      <c r="A2237" s="241"/>
      <c r="B2237" s="243"/>
      <c r="C2237" s="241"/>
      <c r="D2237" s="241"/>
      <c r="E2237" s="241"/>
    </row>
    <row r="2238" spans="1:5" customFormat="1" ht="24.95" customHeight="1" x14ac:dyDescent="0.25">
      <c r="A2238" s="241"/>
      <c r="B2238" s="243"/>
      <c r="C2238" s="241"/>
      <c r="D2238" s="241"/>
      <c r="E2238" s="241"/>
    </row>
    <row r="2239" spans="1:5" customFormat="1" ht="24.95" customHeight="1" x14ac:dyDescent="0.25">
      <c r="A2239" s="241"/>
      <c r="B2239" s="243"/>
      <c r="C2239" s="241"/>
      <c r="D2239" s="241"/>
      <c r="E2239" s="241"/>
    </row>
    <row r="2240" spans="1:5" customFormat="1" ht="24.95" customHeight="1" x14ac:dyDescent="0.25">
      <c r="A2240" s="241"/>
      <c r="B2240" s="243"/>
      <c r="C2240" s="241"/>
      <c r="D2240" s="241"/>
      <c r="E2240" s="241"/>
    </row>
    <row r="2241" spans="1:5" customFormat="1" ht="24.95" customHeight="1" x14ac:dyDescent="0.25">
      <c r="A2241" s="241"/>
      <c r="B2241" s="243"/>
      <c r="C2241" s="241"/>
      <c r="D2241" s="241"/>
      <c r="E2241" s="241"/>
    </row>
    <row r="2242" spans="1:5" customFormat="1" ht="24.95" customHeight="1" x14ac:dyDescent="0.25">
      <c r="A2242" s="241"/>
      <c r="B2242" s="243"/>
      <c r="C2242" s="241"/>
      <c r="D2242" s="241"/>
      <c r="E2242" s="241"/>
    </row>
    <row r="2243" spans="1:5" customFormat="1" ht="24.95" customHeight="1" x14ac:dyDescent="0.25">
      <c r="A2243" s="241"/>
      <c r="B2243" s="243"/>
      <c r="C2243" s="241"/>
      <c r="D2243" s="241"/>
      <c r="E2243" s="241"/>
    </row>
    <row r="2244" spans="1:5" customFormat="1" ht="24.95" customHeight="1" x14ac:dyDescent="0.25">
      <c r="A2244" s="241"/>
      <c r="B2244" s="243"/>
      <c r="C2244" s="241"/>
      <c r="D2244" s="241"/>
      <c r="E2244" s="241"/>
    </row>
    <row r="2245" spans="1:5" customFormat="1" ht="24.95" customHeight="1" x14ac:dyDescent="0.25">
      <c r="A2245" s="241"/>
      <c r="B2245" s="243"/>
      <c r="C2245" s="241"/>
      <c r="D2245" s="241"/>
      <c r="E2245" s="241"/>
    </row>
    <row r="2246" spans="1:5" customFormat="1" ht="24.95" customHeight="1" x14ac:dyDescent="0.25">
      <c r="A2246" s="241"/>
      <c r="B2246" s="243"/>
      <c r="C2246" s="241"/>
      <c r="D2246" s="241"/>
      <c r="E2246" s="241"/>
    </row>
    <row r="2247" spans="1:5" customFormat="1" ht="24.95" customHeight="1" x14ac:dyDescent="0.25">
      <c r="A2247" s="241"/>
      <c r="B2247" s="243"/>
      <c r="C2247" s="241"/>
      <c r="D2247" s="241"/>
      <c r="E2247" s="241"/>
    </row>
    <row r="2248" spans="1:5" customFormat="1" ht="24.95" customHeight="1" x14ac:dyDescent="0.25">
      <c r="A2248" s="241"/>
      <c r="B2248" s="243"/>
      <c r="C2248" s="241"/>
      <c r="D2248" s="241"/>
      <c r="E2248" s="241"/>
    </row>
    <row r="2249" spans="1:5" customFormat="1" ht="24.95" customHeight="1" x14ac:dyDescent="0.25">
      <c r="A2249" s="241"/>
      <c r="B2249" s="243"/>
      <c r="C2249" s="241"/>
      <c r="D2249" s="241"/>
      <c r="E2249" s="241"/>
    </row>
    <row r="2250" spans="1:5" customFormat="1" ht="24.95" customHeight="1" x14ac:dyDescent="0.25">
      <c r="A2250" s="241"/>
      <c r="B2250" s="243"/>
      <c r="C2250" s="241"/>
      <c r="D2250" s="241"/>
      <c r="E2250" s="241"/>
    </row>
    <row r="2251" spans="1:5" customFormat="1" ht="24.95" customHeight="1" x14ac:dyDescent="0.25">
      <c r="A2251" s="241"/>
      <c r="B2251" s="243"/>
      <c r="C2251" s="241"/>
      <c r="D2251" s="241"/>
      <c r="E2251" s="241"/>
    </row>
    <row r="2252" spans="1:5" customFormat="1" ht="24.95" customHeight="1" x14ac:dyDescent="0.25">
      <c r="A2252" s="241"/>
      <c r="B2252" s="243"/>
      <c r="C2252" s="241"/>
      <c r="D2252" s="241"/>
      <c r="E2252" s="241"/>
    </row>
    <row r="2253" spans="1:5" customFormat="1" ht="24.95" customHeight="1" x14ac:dyDescent="0.25">
      <c r="A2253" s="241"/>
      <c r="B2253" s="243"/>
      <c r="C2253" s="241"/>
      <c r="D2253" s="241"/>
      <c r="E2253" s="241"/>
    </row>
    <row r="2254" spans="1:5" customFormat="1" ht="24.95" customHeight="1" x14ac:dyDescent="0.25">
      <c r="A2254" s="241"/>
      <c r="B2254" s="243"/>
      <c r="C2254" s="241"/>
      <c r="D2254" s="241"/>
      <c r="E2254" s="241"/>
    </row>
    <row r="2255" spans="1:5" customFormat="1" ht="24.95" customHeight="1" x14ac:dyDescent="0.25">
      <c r="A2255" s="241"/>
      <c r="B2255" s="243"/>
      <c r="C2255" s="241"/>
      <c r="D2255" s="241"/>
      <c r="E2255" s="241"/>
    </row>
    <row r="2256" spans="1:5" customFormat="1" ht="24.95" customHeight="1" x14ac:dyDescent="0.25">
      <c r="A2256" s="241"/>
      <c r="B2256" s="243"/>
      <c r="C2256" s="241"/>
      <c r="D2256" s="241"/>
      <c r="E2256" s="241"/>
    </row>
    <row r="2257" spans="1:5" customFormat="1" ht="24.95" customHeight="1" x14ac:dyDescent="0.25">
      <c r="A2257" s="241"/>
      <c r="B2257" s="243"/>
      <c r="C2257" s="241"/>
      <c r="D2257" s="241"/>
      <c r="E2257" s="241"/>
    </row>
    <row r="2258" spans="1:5" customFormat="1" ht="24.95" customHeight="1" x14ac:dyDescent="0.25">
      <c r="A2258" s="241"/>
      <c r="B2258" s="243"/>
      <c r="C2258" s="241"/>
      <c r="D2258" s="241"/>
      <c r="E2258" s="241"/>
    </row>
    <row r="2259" spans="1:5" customFormat="1" ht="24.95" customHeight="1" x14ac:dyDescent="0.25">
      <c r="A2259" s="241"/>
      <c r="B2259" s="243"/>
      <c r="C2259" s="241"/>
      <c r="D2259" s="241"/>
      <c r="E2259" s="241"/>
    </row>
    <row r="2260" spans="1:5" customFormat="1" ht="24.95" customHeight="1" x14ac:dyDescent="0.25">
      <c r="A2260" s="241"/>
      <c r="B2260" s="243"/>
      <c r="C2260" s="241"/>
      <c r="D2260" s="241"/>
      <c r="E2260" s="241"/>
    </row>
    <row r="2261" spans="1:5" customFormat="1" ht="24.95" customHeight="1" x14ac:dyDescent="0.25">
      <c r="A2261" s="241"/>
      <c r="B2261" s="243"/>
      <c r="C2261" s="241"/>
      <c r="D2261" s="241"/>
      <c r="E2261" s="241"/>
    </row>
    <row r="2262" spans="1:5" customFormat="1" ht="24.95" customHeight="1" x14ac:dyDescent="0.25">
      <c r="A2262" s="241"/>
      <c r="B2262" s="243"/>
      <c r="C2262" s="241"/>
      <c r="D2262" s="241"/>
      <c r="E2262" s="241"/>
    </row>
    <row r="2263" spans="1:5" customFormat="1" ht="24.95" customHeight="1" x14ac:dyDescent="0.25">
      <c r="A2263" s="241"/>
      <c r="B2263" s="243"/>
      <c r="C2263" s="241"/>
      <c r="D2263" s="241"/>
      <c r="E2263" s="241"/>
    </row>
    <row r="2264" spans="1:5" customFormat="1" ht="24.95" customHeight="1" x14ac:dyDescent="0.25">
      <c r="A2264" s="241"/>
      <c r="B2264" s="243"/>
      <c r="C2264" s="241"/>
      <c r="D2264" s="241"/>
      <c r="E2264" s="241"/>
    </row>
    <row r="2265" spans="1:5" customFormat="1" ht="24.95" customHeight="1" x14ac:dyDescent="0.25">
      <c r="A2265" s="241"/>
      <c r="B2265" s="243"/>
      <c r="C2265" s="241"/>
      <c r="D2265" s="241"/>
      <c r="E2265" s="241"/>
    </row>
    <row r="2266" spans="1:5" customFormat="1" ht="24.95" customHeight="1" x14ac:dyDescent="0.25">
      <c r="A2266" s="241"/>
      <c r="B2266" s="243"/>
      <c r="C2266" s="241"/>
      <c r="D2266" s="241"/>
      <c r="E2266" s="241"/>
    </row>
    <row r="2267" spans="1:5" customFormat="1" ht="24.95" customHeight="1" x14ac:dyDescent="0.25">
      <c r="A2267" s="241"/>
      <c r="B2267" s="243"/>
      <c r="C2267" s="241"/>
      <c r="D2267" s="241"/>
      <c r="E2267" s="241"/>
    </row>
    <row r="2268" spans="1:5" customFormat="1" ht="24.95" customHeight="1" x14ac:dyDescent="0.25">
      <c r="A2268" s="241"/>
      <c r="B2268" s="243"/>
      <c r="C2268" s="241"/>
      <c r="D2268" s="241"/>
      <c r="E2268" s="241"/>
    </row>
    <row r="2269" spans="1:5" customFormat="1" ht="24.95" customHeight="1" x14ac:dyDescent="0.25">
      <c r="A2269" s="241"/>
      <c r="B2269" s="243"/>
      <c r="C2269" s="241"/>
      <c r="D2269" s="241"/>
      <c r="E2269" s="241"/>
    </row>
    <row r="2270" spans="1:5" customFormat="1" ht="24.95" customHeight="1" x14ac:dyDescent="0.25">
      <c r="A2270" s="241"/>
      <c r="B2270" s="243"/>
      <c r="C2270" s="241"/>
      <c r="D2270" s="241"/>
      <c r="E2270" s="241"/>
    </row>
    <row r="2271" spans="1:5" customFormat="1" ht="24.95" customHeight="1" x14ac:dyDescent="0.25">
      <c r="A2271" s="241"/>
      <c r="B2271" s="243"/>
      <c r="C2271" s="241"/>
      <c r="D2271" s="241"/>
      <c r="E2271" s="241"/>
    </row>
    <row r="2272" spans="1:5" customFormat="1" ht="24.95" customHeight="1" x14ac:dyDescent="0.25">
      <c r="A2272" s="241"/>
      <c r="B2272" s="243"/>
      <c r="C2272" s="241"/>
      <c r="D2272" s="241"/>
      <c r="E2272" s="241"/>
    </row>
    <row r="2273" spans="1:5" customFormat="1" ht="24.95" customHeight="1" x14ac:dyDescent="0.25">
      <c r="A2273" s="241"/>
      <c r="B2273" s="243"/>
      <c r="C2273" s="241"/>
      <c r="D2273" s="241"/>
      <c r="E2273" s="241"/>
    </row>
    <row r="2274" spans="1:5" customFormat="1" ht="24.95" customHeight="1" x14ac:dyDescent="0.25">
      <c r="A2274" s="241"/>
      <c r="B2274" s="243"/>
      <c r="C2274" s="241"/>
      <c r="D2274" s="241"/>
      <c r="E2274" s="241"/>
    </row>
    <row r="2275" spans="1:5" customFormat="1" ht="24.95" customHeight="1" x14ac:dyDescent="0.25">
      <c r="A2275" s="241"/>
      <c r="B2275" s="243"/>
      <c r="C2275" s="241"/>
      <c r="D2275" s="241"/>
      <c r="E2275" s="241"/>
    </row>
    <row r="2276" spans="1:5" customFormat="1" ht="24.95" customHeight="1" x14ac:dyDescent="0.25">
      <c r="A2276" s="241"/>
      <c r="B2276" s="243"/>
      <c r="C2276" s="241"/>
      <c r="D2276" s="241"/>
      <c r="E2276" s="241"/>
    </row>
    <row r="2277" spans="1:5" customFormat="1" ht="24.95" customHeight="1" x14ac:dyDescent="0.25">
      <c r="A2277" s="241"/>
      <c r="B2277" s="243"/>
      <c r="C2277" s="241"/>
      <c r="D2277" s="241"/>
      <c r="E2277" s="241"/>
    </row>
    <row r="2278" spans="1:5" customFormat="1" ht="24.95" customHeight="1" x14ac:dyDescent="0.25">
      <c r="A2278" s="241"/>
      <c r="B2278" s="243"/>
      <c r="C2278" s="241"/>
      <c r="D2278" s="241"/>
      <c r="E2278" s="241"/>
    </row>
    <row r="2279" spans="1:5" customFormat="1" ht="24.95" customHeight="1" x14ac:dyDescent="0.25">
      <c r="A2279" s="241"/>
      <c r="B2279" s="243"/>
      <c r="C2279" s="241"/>
      <c r="D2279" s="241"/>
      <c r="E2279" s="241"/>
    </row>
    <row r="2280" spans="1:5" customFormat="1" ht="24.95" customHeight="1" x14ac:dyDescent="0.25">
      <c r="A2280" s="241"/>
      <c r="B2280" s="243"/>
      <c r="C2280" s="241"/>
      <c r="D2280" s="241"/>
      <c r="E2280" s="241"/>
    </row>
    <row r="2281" spans="1:5" customFormat="1" ht="24.95" customHeight="1" x14ac:dyDescent="0.25">
      <c r="A2281" s="241"/>
      <c r="B2281" s="243"/>
      <c r="C2281" s="241"/>
      <c r="D2281" s="241"/>
      <c r="E2281" s="241"/>
    </row>
    <row r="2282" spans="1:5" customFormat="1" ht="24.95" customHeight="1" x14ac:dyDescent="0.25">
      <c r="A2282" s="241"/>
      <c r="B2282" s="243"/>
      <c r="C2282" s="241"/>
      <c r="D2282" s="241"/>
      <c r="E2282" s="241"/>
    </row>
    <row r="2283" spans="1:5" customFormat="1" ht="24.95" customHeight="1" x14ac:dyDescent="0.25">
      <c r="A2283" s="241"/>
      <c r="B2283" s="243"/>
      <c r="C2283" s="241"/>
      <c r="D2283" s="241"/>
      <c r="E2283" s="241"/>
    </row>
    <row r="2284" spans="1:5" customFormat="1" ht="24.95" customHeight="1" x14ac:dyDescent="0.25">
      <c r="A2284" s="241"/>
      <c r="B2284" s="243"/>
      <c r="C2284" s="241"/>
      <c r="D2284" s="241"/>
      <c r="E2284" s="241"/>
    </row>
    <row r="2285" spans="1:5" customFormat="1" ht="24.95" customHeight="1" x14ac:dyDescent="0.25">
      <c r="A2285" s="241"/>
      <c r="B2285" s="243"/>
      <c r="C2285" s="241"/>
      <c r="D2285" s="241"/>
      <c r="E2285" s="241"/>
    </row>
    <row r="2286" spans="1:5" customFormat="1" ht="24.95" customHeight="1" x14ac:dyDescent="0.25">
      <c r="A2286" s="241"/>
      <c r="B2286" s="243"/>
      <c r="C2286" s="241"/>
      <c r="D2286" s="241"/>
      <c r="E2286" s="241"/>
    </row>
    <row r="2287" spans="1:5" customFormat="1" ht="24.95" customHeight="1" x14ac:dyDescent="0.25">
      <c r="A2287" s="241"/>
      <c r="B2287" s="243"/>
      <c r="C2287" s="241"/>
      <c r="D2287" s="241"/>
      <c r="E2287" s="241"/>
    </row>
    <row r="2288" spans="1:5" customFormat="1" ht="24.95" customHeight="1" x14ac:dyDescent="0.25">
      <c r="A2288" s="241"/>
      <c r="B2288" s="243"/>
      <c r="C2288" s="241"/>
      <c r="D2288" s="241"/>
      <c r="E2288" s="241"/>
    </row>
    <row r="2289" spans="1:5" customFormat="1" ht="24.95" customHeight="1" x14ac:dyDescent="0.25">
      <c r="A2289" s="241"/>
      <c r="B2289" s="243"/>
      <c r="C2289" s="241"/>
      <c r="D2289" s="241"/>
      <c r="E2289" s="241"/>
    </row>
    <row r="2290" spans="1:5" customFormat="1" ht="24.95" customHeight="1" x14ac:dyDescent="0.25">
      <c r="A2290" s="241"/>
      <c r="B2290" s="243"/>
      <c r="C2290" s="241"/>
      <c r="D2290" s="241"/>
      <c r="E2290" s="241"/>
    </row>
    <row r="2291" spans="1:5" customFormat="1" ht="24.95" customHeight="1" x14ac:dyDescent="0.25">
      <c r="A2291" s="241"/>
      <c r="B2291" s="243"/>
      <c r="C2291" s="241"/>
      <c r="D2291" s="241"/>
      <c r="E2291" s="241"/>
    </row>
    <row r="2292" spans="1:5" customFormat="1" ht="24.95" customHeight="1" x14ac:dyDescent="0.25">
      <c r="A2292" s="241"/>
      <c r="B2292" s="243"/>
      <c r="C2292" s="241"/>
      <c r="D2292" s="241"/>
      <c r="E2292" s="241"/>
    </row>
    <row r="2293" spans="1:5" customFormat="1" ht="24.95" customHeight="1" x14ac:dyDescent="0.25">
      <c r="A2293" s="241"/>
      <c r="B2293" s="243"/>
      <c r="C2293" s="241"/>
      <c r="D2293" s="241"/>
      <c r="E2293" s="241"/>
    </row>
    <row r="2294" spans="1:5" customFormat="1" ht="24.95" customHeight="1" x14ac:dyDescent="0.25">
      <c r="A2294" s="241"/>
      <c r="B2294" s="243"/>
      <c r="C2294" s="241"/>
      <c r="D2294" s="241"/>
      <c r="E2294" s="241"/>
    </row>
    <row r="2295" spans="1:5" customFormat="1" ht="24.95" customHeight="1" x14ac:dyDescent="0.25">
      <c r="A2295" s="241"/>
      <c r="B2295" s="243"/>
      <c r="C2295" s="241"/>
      <c r="D2295" s="241"/>
      <c r="E2295" s="241"/>
    </row>
    <row r="2296" spans="1:5" customFormat="1" ht="24.95" customHeight="1" x14ac:dyDescent="0.25">
      <c r="A2296" s="241"/>
      <c r="B2296" s="243"/>
      <c r="C2296" s="241"/>
      <c r="D2296" s="241"/>
      <c r="E2296" s="241"/>
    </row>
    <row r="2297" spans="1:5" customFormat="1" ht="24.95" customHeight="1" x14ac:dyDescent="0.25">
      <c r="A2297" s="241"/>
      <c r="B2297" s="243"/>
      <c r="C2297" s="241"/>
      <c r="D2297" s="241"/>
      <c r="E2297" s="241"/>
    </row>
    <row r="2298" spans="1:5" customFormat="1" ht="24.95" customHeight="1" x14ac:dyDescent="0.25">
      <c r="A2298" s="241"/>
      <c r="B2298" s="243"/>
      <c r="C2298" s="241"/>
      <c r="D2298" s="241"/>
      <c r="E2298" s="241"/>
    </row>
    <row r="2299" spans="1:5" customFormat="1" ht="24.95" customHeight="1" x14ac:dyDescent="0.25">
      <c r="A2299" s="241"/>
      <c r="B2299" s="243"/>
      <c r="C2299" s="241"/>
      <c r="D2299" s="241"/>
      <c r="E2299" s="241"/>
    </row>
    <row r="2300" spans="1:5" customFormat="1" ht="24.95" customHeight="1" x14ac:dyDescent="0.25">
      <c r="A2300" s="241"/>
      <c r="B2300" s="243"/>
      <c r="C2300" s="241"/>
      <c r="D2300" s="241"/>
      <c r="E2300" s="241"/>
    </row>
    <row r="2301" spans="1:5" customFormat="1" ht="24.95" customHeight="1" x14ac:dyDescent="0.25">
      <c r="A2301" s="241"/>
      <c r="B2301" s="243"/>
      <c r="C2301" s="241"/>
      <c r="D2301" s="241"/>
      <c r="E2301" s="241"/>
    </row>
    <row r="2302" spans="1:5" customFormat="1" ht="24.95" customHeight="1" x14ac:dyDescent="0.25">
      <c r="A2302" s="241"/>
      <c r="B2302" s="243"/>
      <c r="C2302" s="241"/>
      <c r="D2302" s="241"/>
      <c r="E2302" s="241"/>
    </row>
    <row r="2303" spans="1:5" customFormat="1" ht="24.95" customHeight="1" x14ac:dyDescent="0.25">
      <c r="A2303" s="241"/>
      <c r="B2303" s="243"/>
      <c r="C2303" s="241"/>
      <c r="D2303" s="241"/>
      <c r="E2303" s="241"/>
    </row>
    <row r="2304" spans="1:5" customFormat="1" ht="24.95" customHeight="1" x14ac:dyDescent="0.25">
      <c r="A2304" s="241"/>
      <c r="B2304" s="243"/>
      <c r="C2304" s="241"/>
      <c r="D2304" s="241"/>
      <c r="E2304" s="241"/>
    </row>
    <row r="2305" spans="1:5" customFormat="1" ht="24.95" customHeight="1" x14ac:dyDescent="0.25">
      <c r="A2305" s="241"/>
      <c r="B2305" s="243"/>
      <c r="C2305" s="241"/>
      <c r="D2305" s="241"/>
      <c r="E2305" s="241"/>
    </row>
    <row r="2306" spans="1:5" customFormat="1" ht="24.95" customHeight="1" x14ac:dyDescent="0.25">
      <c r="A2306" s="241"/>
      <c r="B2306" s="243"/>
      <c r="C2306" s="241"/>
      <c r="D2306" s="241"/>
      <c r="E2306" s="241"/>
    </row>
    <row r="2307" spans="1:5" customFormat="1" ht="24.95" customHeight="1" x14ac:dyDescent="0.25">
      <c r="A2307" s="241"/>
      <c r="B2307" s="243"/>
      <c r="C2307" s="241"/>
      <c r="D2307" s="241"/>
      <c r="E2307" s="241"/>
    </row>
    <row r="2308" spans="1:5" customFormat="1" ht="24.95" customHeight="1" x14ac:dyDescent="0.25">
      <c r="A2308" s="241"/>
      <c r="B2308" s="243"/>
      <c r="C2308" s="241"/>
      <c r="D2308" s="241"/>
      <c r="E2308" s="241"/>
    </row>
    <row r="2309" spans="1:5" customFormat="1" ht="24.95" customHeight="1" x14ac:dyDescent="0.25">
      <c r="A2309" s="241"/>
      <c r="B2309" s="243"/>
      <c r="C2309" s="241"/>
      <c r="D2309" s="241"/>
      <c r="E2309" s="241"/>
    </row>
    <row r="2310" spans="1:5" customFormat="1" ht="24.95" customHeight="1" x14ac:dyDescent="0.25">
      <c r="A2310" s="241"/>
      <c r="B2310" s="243"/>
      <c r="C2310" s="241"/>
      <c r="D2310" s="241"/>
      <c r="E2310" s="241"/>
    </row>
    <row r="2311" spans="1:5" customFormat="1" ht="24.95" customHeight="1" x14ac:dyDescent="0.25">
      <c r="A2311" s="241"/>
      <c r="B2311" s="243"/>
      <c r="C2311" s="241"/>
      <c r="D2311" s="241"/>
      <c r="E2311" s="241"/>
    </row>
    <row r="2312" spans="1:5" customFormat="1" ht="24.95" customHeight="1" x14ac:dyDescent="0.25">
      <c r="A2312" s="241"/>
      <c r="B2312" s="243"/>
      <c r="C2312" s="241"/>
      <c r="D2312" s="241"/>
      <c r="E2312" s="241"/>
    </row>
    <row r="2313" spans="1:5" customFormat="1" ht="24.95" customHeight="1" x14ac:dyDescent="0.25">
      <c r="A2313" s="241"/>
      <c r="B2313" s="243"/>
      <c r="C2313" s="241"/>
      <c r="D2313" s="241"/>
      <c r="E2313" s="241"/>
    </row>
    <row r="2314" spans="1:5" customFormat="1" ht="24.95" customHeight="1" x14ac:dyDescent="0.25">
      <c r="A2314" s="241"/>
      <c r="B2314" s="243"/>
      <c r="C2314" s="241"/>
      <c r="D2314" s="241"/>
      <c r="E2314" s="241"/>
    </row>
    <row r="2315" spans="1:5" customFormat="1" ht="24.95" customHeight="1" x14ac:dyDescent="0.25">
      <c r="A2315" s="241"/>
      <c r="B2315" s="243"/>
      <c r="C2315" s="241"/>
      <c r="D2315" s="241"/>
      <c r="E2315" s="241"/>
    </row>
    <row r="2316" spans="1:5" customFormat="1" ht="24.95" customHeight="1" x14ac:dyDescent="0.25">
      <c r="A2316" s="241"/>
      <c r="B2316" s="243"/>
      <c r="C2316" s="241"/>
      <c r="D2316" s="241"/>
      <c r="E2316" s="241"/>
    </row>
    <row r="2317" spans="1:5" customFormat="1" ht="24.95" customHeight="1" x14ac:dyDescent="0.25">
      <c r="A2317" s="241"/>
      <c r="B2317" s="243"/>
      <c r="C2317" s="241"/>
      <c r="D2317" s="241"/>
      <c r="E2317" s="241"/>
    </row>
    <row r="2318" spans="1:5" customFormat="1" ht="24.95" customHeight="1" x14ac:dyDescent="0.25">
      <c r="A2318" s="241"/>
      <c r="B2318" s="243"/>
      <c r="C2318" s="241"/>
      <c r="D2318" s="241"/>
      <c r="E2318" s="241"/>
    </row>
    <row r="2319" spans="1:5" customFormat="1" ht="24.95" customHeight="1" x14ac:dyDescent="0.25">
      <c r="A2319" s="241"/>
      <c r="B2319" s="243"/>
      <c r="C2319" s="241"/>
      <c r="D2319" s="241"/>
      <c r="E2319" s="241"/>
    </row>
    <row r="2320" spans="1:5" customFormat="1" ht="24.95" customHeight="1" x14ac:dyDescent="0.25">
      <c r="A2320" s="241"/>
      <c r="B2320" s="243"/>
      <c r="C2320" s="241"/>
      <c r="D2320" s="241"/>
      <c r="E2320" s="241"/>
    </row>
    <row r="2321" spans="1:5" customFormat="1" ht="24.95" customHeight="1" x14ac:dyDescent="0.25">
      <c r="A2321" s="241"/>
      <c r="B2321" s="243"/>
      <c r="C2321" s="241"/>
      <c r="D2321" s="241"/>
      <c r="E2321" s="241"/>
    </row>
    <row r="2322" spans="1:5" customFormat="1" ht="24.95" customHeight="1" x14ac:dyDescent="0.25">
      <c r="A2322" s="241"/>
      <c r="B2322" s="243"/>
      <c r="C2322" s="241"/>
      <c r="D2322" s="241"/>
      <c r="E2322" s="241"/>
    </row>
    <row r="2323" spans="1:5" customFormat="1" ht="24.95" customHeight="1" x14ac:dyDescent="0.25">
      <c r="A2323" s="241"/>
      <c r="B2323" s="243"/>
      <c r="C2323" s="241"/>
      <c r="D2323" s="241"/>
      <c r="E2323" s="241"/>
    </row>
    <row r="2324" spans="1:5" customFormat="1" ht="24.95" customHeight="1" x14ac:dyDescent="0.25">
      <c r="A2324" s="241"/>
      <c r="B2324" s="243"/>
      <c r="C2324" s="241"/>
      <c r="D2324" s="241"/>
      <c r="E2324" s="241"/>
    </row>
    <row r="2325" spans="1:5" customFormat="1" ht="24.95" customHeight="1" x14ac:dyDescent="0.25">
      <c r="A2325" s="241"/>
      <c r="B2325" s="243"/>
      <c r="C2325" s="241"/>
      <c r="D2325" s="241"/>
      <c r="E2325" s="241"/>
    </row>
    <row r="2326" spans="1:5" customFormat="1" ht="24.95" customHeight="1" x14ac:dyDescent="0.25">
      <c r="A2326" s="241"/>
      <c r="B2326" s="243"/>
      <c r="C2326" s="241"/>
      <c r="D2326" s="241"/>
      <c r="E2326" s="241"/>
    </row>
    <row r="2327" spans="1:5" customFormat="1" ht="24.95" customHeight="1" x14ac:dyDescent="0.25">
      <c r="A2327" s="241"/>
      <c r="B2327" s="243"/>
      <c r="C2327" s="241"/>
      <c r="D2327" s="241"/>
      <c r="E2327" s="241"/>
    </row>
    <row r="2328" spans="1:5" customFormat="1" ht="24.95" customHeight="1" x14ac:dyDescent="0.25">
      <c r="A2328" s="241"/>
      <c r="B2328" s="243"/>
      <c r="C2328" s="241"/>
      <c r="D2328" s="241"/>
      <c r="E2328" s="241"/>
    </row>
    <row r="2329" spans="1:5" customFormat="1" ht="24.95" customHeight="1" x14ac:dyDescent="0.25">
      <c r="A2329" s="241"/>
      <c r="B2329" s="243"/>
      <c r="C2329" s="241"/>
      <c r="D2329" s="241"/>
      <c r="E2329" s="241"/>
    </row>
    <row r="2330" spans="1:5" customFormat="1" ht="24.95" customHeight="1" x14ac:dyDescent="0.25">
      <c r="A2330" s="241"/>
      <c r="B2330" s="243"/>
      <c r="C2330" s="241"/>
      <c r="D2330" s="241"/>
      <c r="E2330" s="241"/>
    </row>
    <row r="2331" spans="1:5" customFormat="1" ht="24.95" customHeight="1" x14ac:dyDescent="0.25">
      <c r="A2331" s="241"/>
      <c r="B2331" s="243"/>
      <c r="C2331" s="241"/>
      <c r="D2331" s="241"/>
      <c r="E2331" s="241"/>
    </row>
    <row r="2332" spans="1:5" customFormat="1" ht="24.95" customHeight="1" x14ac:dyDescent="0.25">
      <c r="A2332" s="241"/>
      <c r="B2332" s="243"/>
      <c r="C2332" s="241"/>
      <c r="D2332" s="241"/>
      <c r="E2332" s="241"/>
    </row>
    <row r="2333" spans="1:5" customFormat="1" ht="24.95" customHeight="1" x14ac:dyDescent="0.25">
      <c r="A2333" s="241"/>
      <c r="B2333" s="243"/>
      <c r="C2333" s="241"/>
      <c r="D2333" s="241"/>
      <c r="E2333" s="241"/>
    </row>
    <row r="2334" spans="1:5" customFormat="1" ht="24.95" customHeight="1" x14ac:dyDescent="0.25">
      <c r="A2334" s="241"/>
      <c r="B2334" s="243"/>
      <c r="C2334" s="241"/>
      <c r="D2334" s="241"/>
      <c r="E2334" s="241"/>
    </row>
    <row r="2335" spans="1:5" customFormat="1" ht="24.95" customHeight="1" x14ac:dyDescent="0.25">
      <c r="A2335" s="241"/>
      <c r="B2335" s="243"/>
      <c r="C2335" s="241"/>
      <c r="D2335" s="241"/>
      <c r="E2335" s="241"/>
    </row>
    <row r="2336" spans="1:5" customFormat="1" ht="24.95" customHeight="1" x14ac:dyDescent="0.25">
      <c r="A2336" s="241"/>
      <c r="B2336" s="243"/>
      <c r="C2336" s="241"/>
      <c r="D2336" s="241"/>
      <c r="E2336" s="241"/>
    </row>
    <row r="2337" spans="1:5" customFormat="1" ht="24.95" customHeight="1" x14ac:dyDescent="0.25">
      <c r="A2337" s="241"/>
      <c r="B2337" s="243"/>
      <c r="C2337" s="241"/>
      <c r="D2337" s="241"/>
      <c r="E2337" s="241"/>
    </row>
    <row r="2338" spans="1:5" customFormat="1" ht="24.95" customHeight="1" x14ac:dyDescent="0.25">
      <c r="A2338" s="241"/>
      <c r="B2338" s="243"/>
      <c r="C2338" s="241"/>
      <c r="D2338" s="241"/>
      <c r="E2338" s="241"/>
    </row>
    <row r="2339" spans="1:5" customFormat="1" ht="24.95" customHeight="1" x14ac:dyDescent="0.25">
      <c r="A2339" s="241"/>
      <c r="B2339" s="243"/>
      <c r="C2339" s="241"/>
      <c r="D2339" s="241"/>
      <c r="E2339" s="241"/>
    </row>
    <row r="2340" spans="1:5" customFormat="1" ht="24.95" customHeight="1" x14ac:dyDescent="0.25">
      <c r="A2340" s="241"/>
      <c r="B2340" s="243"/>
      <c r="C2340" s="241"/>
      <c r="D2340" s="241"/>
      <c r="E2340" s="241"/>
    </row>
    <row r="2341" spans="1:5" customFormat="1" ht="24.95" customHeight="1" x14ac:dyDescent="0.25">
      <c r="A2341" s="241"/>
      <c r="B2341" s="243"/>
      <c r="C2341" s="241"/>
      <c r="D2341" s="241"/>
      <c r="E2341" s="241"/>
    </row>
    <row r="2342" spans="1:5" customFormat="1" ht="24.95" customHeight="1" x14ac:dyDescent="0.25">
      <c r="A2342" s="241"/>
      <c r="B2342" s="243"/>
      <c r="C2342" s="241"/>
      <c r="D2342" s="241"/>
      <c r="E2342" s="241"/>
    </row>
    <row r="2343" spans="1:5" customFormat="1" ht="24.95" customHeight="1" x14ac:dyDescent="0.25">
      <c r="A2343" s="241"/>
      <c r="B2343" s="243"/>
      <c r="C2343" s="241"/>
      <c r="D2343" s="241"/>
      <c r="E2343" s="241"/>
    </row>
    <row r="2344" spans="1:5" customFormat="1" ht="24.95" customHeight="1" x14ac:dyDescent="0.25">
      <c r="A2344" s="241"/>
      <c r="B2344" s="243"/>
      <c r="C2344" s="241"/>
      <c r="D2344" s="241"/>
      <c r="E2344" s="241"/>
    </row>
    <row r="2345" spans="1:5" customFormat="1" ht="24.95" customHeight="1" x14ac:dyDescent="0.25">
      <c r="A2345" s="241"/>
      <c r="B2345" s="243"/>
      <c r="C2345" s="241"/>
      <c r="D2345" s="241"/>
      <c r="E2345" s="241"/>
    </row>
    <row r="2346" spans="1:5" customFormat="1" ht="24.95" customHeight="1" x14ac:dyDescent="0.25">
      <c r="A2346" s="241"/>
      <c r="B2346" s="243"/>
      <c r="C2346" s="241"/>
      <c r="D2346" s="241"/>
      <c r="E2346" s="241"/>
    </row>
    <row r="2347" spans="1:5" customFormat="1" ht="24.95" customHeight="1" x14ac:dyDescent="0.25">
      <c r="A2347" s="241"/>
      <c r="B2347" s="243"/>
      <c r="C2347" s="241"/>
      <c r="D2347" s="241"/>
      <c r="E2347" s="241"/>
    </row>
    <row r="2348" spans="1:5" customFormat="1" ht="24.95" customHeight="1" x14ac:dyDescent="0.25">
      <c r="A2348" s="241"/>
      <c r="B2348" s="243"/>
      <c r="C2348" s="241"/>
      <c r="D2348" s="241"/>
      <c r="E2348" s="241"/>
    </row>
    <row r="2349" spans="1:5" customFormat="1" ht="24.95" customHeight="1" x14ac:dyDescent="0.25">
      <c r="A2349" s="241"/>
      <c r="B2349" s="243"/>
      <c r="C2349" s="241"/>
      <c r="D2349" s="241"/>
      <c r="E2349" s="241"/>
    </row>
    <row r="2350" spans="1:5" customFormat="1" ht="24.95" customHeight="1" x14ac:dyDescent="0.25">
      <c r="A2350" s="241"/>
      <c r="B2350" s="243"/>
      <c r="C2350" s="241"/>
      <c r="D2350" s="241"/>
      <c r="E2350" s="241"/>
    </row>
    <row r="2351" spans="1:5" customFormat="1" ht="24.95" customHeight="1" x14ac:dyDescent="0.25">
      <c r="A2351" s="241"/>
      <c r="B2351" s="243"/>
      <c r="C2351" s="241"/>
      <c r="D2351" s="241"/>
      <c r="E2351" s="241"/>
    </row>
    <row r="2352" spans="1:5" customFormat="1" ht="24.95" customHeight="1" x14ac:dyDescent="0.25">
      <c r="A2352" s="241"/>
      <c r="B2352" s="243"/>
      <c r="C2352" s="241"/>
      <c r="D2352" s="241"/>
      <c r="E2352" s="241"/>
    </row>
    <row r="2353" spans="1:5" customFormat="1" ht="24.95" customHeight="1" x14ac:dyDescent="0.25">
      <c r="A2353" s="241"/>
      <c r="B2353" s="243"/>
      <c r="C2353" s="241"/>
      <c r="D2353" s="241"/>
      <c r="E2353" s="241"/>
    </row>
    <row r="2354" spans="1:5" customFormat="1" ht="24.95" customHeight="1" x14ac:dyDescent="0.25">
      <c r="A2354" s="241"/>
      <c r="B2354" s="243"/>
      <c r="C2354" s="241"/>
      <c r="D2354" s="241"/>
      <c r="E2354" s="241"/>
    </row>
    <row r="2355" spans="1:5" customFormat="1" ht="24.95" customHeight="1" x14ac:dyDescent="0.25">
      <c r="A2355" s="241"/>
      <c r="B2355" s="243"/>
      <c r="C2355" s="241"/>
      <c r="D2355" s="241"/>
      <c r="E2355" s="241"/>
    </row>
    <row r="2356" spans="1:5" customFormat="1" ht="24.95" customHeight="1" x14ac:dyDescent="0.25">
      <c r="A2356" s="241"/>
      <c r="B2356" s="243"/>
      <c r="C2356" s="241"/>
      <c r="D2356" s="241"/>
      <c r="E2356" s="241"/>
    </row>
    <row r="2357" spans="1:5" customFormat="1" ht="24.95" customHeight="1" x14ac:dyDescent="0.25">
      <c r="A2357" s="241"/>
      <c r="B2357" s="243"/>
      <c r="C2357" s="241"/>
      <c r="D2357" s="241"/>
      <c r="E2357" s="241"/>
    </row>
    <row r="2358" spans="1:5" customFormat="1" ht="24.95" customHeight="1" x14ac:dyDescent="0.25">
      <c r="A2358" s="241"/>
      <c r="B2358" s="243"/>
      <c r="C2358" s="241"/>
      <c r="D2358" s="241"/>
      <c r="E2358" s="241"/>
    </row>
    <row r="2359" spans="1:5" customFormat="1" ht="24.95" customHeight="1" x14ac:dyDescent="0.25">
      <c r="A2359" s="241"/>
      <c r="B2359" s="243"/>
      <c r="C2359" s="241"/>
      <c r="D2359" s="241"/>
      <c r="E2359" s="241"/>
    </row>
    <row r="2360" spans="1:5" customFormat="1" ht="24.95" customHeight="1" x14ac:dyDescent="0.25">
      <c r="A2360" s="241"/>
      <c r="B2360" s="243"/>
      <c r="C2360" s="241"/>
      <c r="D2360" s="241"/>
      <c r="E2360" s="241"/>
    </row>
    <row r="2361" spans="1:5" customFormat="1" ht="24.95" customHeight="1" x14ac:dyDescent="0.25">
      <c r="A2361" s="241"/>
      <c r="B2361" s="243"/>
      <c r="C2361" s="241"/>
      <c r="D2361" s="241"/>
      <c r="E2361" s="241"/>
    </row>
    <row r="2362" spans="1:5" customFormat="1" ht="24.95" customHeight="1" x14ac:dyDescent="0.25">
      <c r="A2362" s="241"/>
      <c r="B2362" s="243"/>
      <c r="C2362" s="241"/>
      <c r="D2362" s="241"/>
      <c r="E2362" s="241"/>
    </row>
    <row r="2363" spans="1:5" customFormat="1" ht="24.95" customHeight="1" x14ac:dyDescent="0.25">
      <c r="A2363" s="241"/>
      <c r="B2363" s="243"/>
      <c r="C2363" s="241"/>
      <c r="D2363" s="241"/>
      <c r="E2363" s="241"/>
    </row>
    <row r="2364" spans="1:5" customFormat="1" ht="24.95" customHeight="1" x14ac:dyDescent="0.25">
      <c r="A2364" s="241"/>
      <c r="B2364" s="243"/>
      <c r="C2364" s="241"/>
      <c r="D2364" s="241"/>
      <c r="E2364" s="241"/>
    </row>
    <row r="2365" spans="1:5" customFormat="1" ht="24.95" customHeight="1" x14ac:dyDescent="0.25">
      <c r="A2365" s="241"/>
      <c r="B2365" s="243"/>
      <c r="C2365" s="241"/>
      <c r="D2365" s="241"/>
      <c r="E2365" s="241"/>
    </row>
    <row r="2366" spans="1:5" customFormat="1" ht="24.95" customHeight="1" x14ac:dyDescent="0.25">
      <c r="A2366" s="241"/>
      <c r="B2366" s="243"/>
      <c r="C2366" s="241"/>
      <c r="D2366" s="241"/>
      <c r="E2366" s="241"/>
    </row>
    <row r="2367" spans="1:5" customFormat="1" ht="24.95" customHeight="1" x14ac:dyDescent="0.25">
      <c r="A2367" s="241"/>
      <c r="B2367" s="243"/>
      <c r="C2367" s="241"/>
      <c r="D2367" s="241"/>
      <c r="E2367" s="241"/>
    </row>
    <row r="2368" spans="1:5" customFormat="1" ht="24.95" customHeight="1" x14ac:dyDescent="0.25">
      <c r="A2368" s="241"/>
      <c r="B2368" s="243"/>
      <c r="C2368" s="241"/>
      <c r="D2368" s="241"/>
      <c r="E2368" s="241"/>
    </row>
    <row r="2369" spans="1:5" customFormat="1" ht="24.95" customHeight="1" x14ac:dyDescent="0.25">
      <c r="A2369" s="241"/>
      <c r="B2369" s="243"/>
      <c r="C2369" s="241"/>
      <c r="D2369" s="241"/>
      <c r="E2369" s="241"/>
    </row>
    <row r="2370" spans="1:5" customFormat="1" ht="24.95" customHeight="1" x14ac:dyDescent="0.25">
      <c r="A2370" s="241"/>
      <c r="B2370" s="243"/>
      <c r="C2370" s="241"/>
      <c r="D2370" s="241"/>
      <c r="E2370" s="241"/>
    </row>
    <row r="2371" spans="1:5" customFormat="1" ht="24.95" customHeight="1" x14ac:dyDescent="0.25">
      <c r="A2371" s="241"/>
      <c r="B2371" s="243"/>
      <c r="C2371" s="241"/>
      <c r="D2371" s="241"/>
      <c r="E2371" s="241"/>
    </row>
    <row r="2372" spans="1:5" customFormat="1" ht="24.95" customHeight="1" x14ac:dyDescent="0.25">
      <c r="A2372" s="241"/>
      <c r="B2372" s="243"/>
      <c r="C2372" s="241"/>
      <c r="D2372" s="241"/>
      <c r="E2372" s="241"/>
    </row>
    <row r="2373" spans="1:5" customFormat="1" ht="24.95" customHeight="1" x14ac:dyDescent="0.25">
      <c r="A2373" s="241"/>
      <c r="B2373" s="243"/>
      <c r="C2373" s="241"/>
      <c r="D2373" s="241"/>
      <c r="E2373" s="241"/>
    </row>
    <row r="2374" spans="1:5" customFormat="1" ht="24.95" customHeight="1" x14ac:dyDescent="0.25">
      <c r="A2374" s="241"/>
      <c r="B2374" s="243"/>
      <c r="C2374" s="241"/>
      <c r="D2374" s="241"/>
      <c r="E2374" s="241"/>
    </row>
    <row r="2375" spans="1:5" customFormat="1" ht="24.95" customHeight="1" x14ac:dyDescent="0.25">
      <c r="A2375" s="241"/>
      <c r="B2375" s="243"/>
      <c r="C2375" s="241"/>
      <c r="D2375" s="241"/>
      <c r="E2375" s="241"/>
    </row>
    <row r="2376" spans="1:5" customFormat="1" ht="24.95" customHeight="1" x14ac:dyDescent="0.25">
      <c r="A2376" s="241"/>
      <c r="B2376" s="243"/>
      <c r="C2376" s="241"/>
      <c r="D2376" s="241"/>
      <c r="E2376" s="241"/>
    </row>
    <row r="2377" spans="1:5" customFormat="1" ht="24.95" customHeight="1" x14ac:dyDescent="0.25">
      <c r="A2377" s="241"/>
      <c r="B2377" s="243"/>
      <c r="C2377" s="241"/>
      <c r="D2377" s="241"/>
      <c r="E2377" s="241"/>
    </row>
    <row r="2378" spans="1:5" customFormat="1" ht="24.95" customHeight="1" x14ac:dyDescent="0.25">
      <c r="A2378" s="241"/>
      <c r="B2378" s="243"/>
      <c r="C2378" s="241"/>
      <c r="D2378" s="241"/>
      <c r="E2378" s="241"/>
    </row>
    <row r="2379" spans="1:5" customFormat="1" ht="24.95" customHeight="1" x14ac:dyDescent="0.25">
      <c r="A2379" s="241"/>
      <c r="B2379" s="243"/>
      <c r="C2379" s="241"/>
      <c r="D2379" s="241"/>
      <c r="E2379" s="241"/>
    </row>
    <row r="2380" spans="1:5" customFormat="1" ht="24.95" customHeight="1" x14ac:dyDescent="0.25">
      <c r="A2380" s="241"/>
      <c r="B2380" s="243"/>
      <c r="C2380" s="241"/>
      <c r="D2380" s="241"/>
      <c r="E2380" s="241"/>
    </row>
    <row r="2381" spans="1:5" customFormat="1" ht="24.95" customHeight="1" x14ac:dyDescent="0.25">
      <c r="A2381" s="241"/>
      <c r="B2381" s="243"/>
      <c r="C2381" s="241"/>
      <c r="D2381" s="241"/>
      <c r="E2381" s="241"/>
    </row>
    <row r="2382" spans="1:5" customFormat="1" ht="24.95" customHeight="1" x14ac:dyDescent="0.25">
      <c r="A2382" s="241"/>
      <c r="B2382" s="243"/>
      <c r="C2382" s="241"/>
      <c r="D2382" s="241"/>
      <c r="E2382" s="241"/>
    </row>
    <row r="2383" spans="1:5" customFormat="1" ht="24.95" customHeight="1" x14ac:dyDescent="0.25">
      <c r="A2383" s="241"/>
      <c r="B2383" s="243"/>
      <c r="C2383" s="241"/>
      <c r="D2383" s="241"/>
      <c r="E2383" s="241"/>
    </row>
    <row r="2384" spans="1:5" customFormat="1" ht="24.95" customHeight="1" x14ac:dyDescent="0.25">
      <c r="A2384" s="241"/>
      <c r="B2384" s="243"/>
      <c r="C2384" s="241"/>
      <c r="D2384" s="241"/>
      <c r="E2384" s="241"/>
    </row>
    <row r="2385" spans="1:5" customFormat="1" ht="24.95" customHeight="1" x14ac:dyDescent="0.25">
      <c r="A2385" s="241"/>
      <c r="B2385" s="243"/>
      <c r="C2385" s="241"/>
      <c r="D2385" s="241"/>
      <c r="E2385" s="241"/>
    </row>
    <row r="2386" spans="1:5" customFormat="1" ht="24.95" customHeight="1" x14ac:dyDescent="0.25">
      <c r="A2386" s="241"/>
      <c r="B2386" s="243"/>
      <c r="C2386" s="241"/>
      <c r="D2386" s="241"/>
      <c r="E2386" s="241"/>
    </row>
    <row r="2387" spans="1:5" customFormat="1" ht="24.95" customHeight="1" x14ac:dyDescent="0.25">
      <c r="A2387" s="241"/>
      <c r="B2387" s="243"/>
      <c r="C2387" s="241"/>
      <c r="D2387" s="241"/>
      <c r="E2387" s="241"/>
    </row>
    <row r="2388" spans="1:5" customFormat="1" ht="24.95" customHeight="1" x14ac:dyDescent="0.25">
      <c r="A2388" s="241"/>
      <c r="B2388" s="243"/>
      <c r="C2388" s="241"/>
      <c r="D2388" s="241"/>
      <c r="E2388" s="241"/>
    </row>
    <row r="2389" spans="1:5" customFormat="1" ht="24.95" customHeight="1" x14ac:dyDescent="0.25">
      <c r="A2389" s="241"/>
      <c r="B2389" s="243"/>
      <c r="C2389" s="241"/>
      <c r="D2389" s="241"/>
      <c r="E2389" s="241"/>
    </row>
    <row r="2390" spans="1:5" customFormat="1" ht="24.95" customHeight="1" x14ac:dyDescent="0.25">
      <c r="A2390" s="241"/>
      <c r="B2390" s="243"/>
      <c r="C2390" s="241"/>
      <c r="D2390" s="241"/>
      <c r="E2390" s="241"/>
    </row>
    <row r="2391" spans="1:5" customFormat="1" ht="24.95" customHeight="1" x14ac:dyDescent="0.25">
      <c r="A2391" s="241"/>
      <c r="B2391" s="243"/>
      <c r="C2391" s="241"/>
      <c r="D2391" s="241"/>
      <c r="E2391" s="241"/>
    </row>
    <row r="2392" spans="1:5" customFormat="1" ht="24.95" customHeight="1" x14ac:dyDescent="0.25">
      <c r="A2392" s="241"/>
      <c r="B2392" s="243"/>
      <c r="C2392" s="241"/>
      <c r="D2392" s="241"/>
      <c r="E2392" s="241"/>
    </row>
    <row r="2393" spans="1:5" customFormat="1" ht="24.95" customHeight="1" x14ac:dyDescent="0.25">
      <c r="A2393" s="241"/>
      <c r="B2393" s="243"/>
      <c r="C2393" s="241"/>
      <c r="D2393" s="241"/>
      <c r="E2393" s="241"/>
    </row>
    <row r="2394" spans="1:5" customFormat="1" ht="24.95" customHeight="1" x14ac:dyDescent="0.25">
      <c r="A2394" s="241"/>
      <c r="B2394" s="243"/>
      <c r="C2394" s="241"/>
      <c r="D2394" s="241"/>
      <c r="E2394" s="241"/>
    </row>
    <row r="2395" spans="1:5" customFormat="1" ht="24.95" customHeight="1" x14ac:dyDescent="0.25">
      <c r="A2395" s="241"/>
      <c r="B2395" s="243"/>
      <c r="C2395" s="241"/>
      <c r="D2395" s="241"/>
      <c r="E2395" s="241"/>
    </row>
    <row r="2396" spans="1:5" customFormat="1" ht="24.95" customHeight="1" x14ac:dyDescent="0.25">
      <c r="A2396" s="241"/>
      <c r="B2396" s="243"/>
      <c r="C2396" s="241"/>
      <c r="D2396" s="241"/>
      <c r="E2396" s="241"/>
    </row>
    <row r="2397" spans="1:5" customFormat="1" ht="24.95" customHeight="1" x14ac:dyDescent="0.25">
      <c r="A2397" s="241"/>
      <c r="B2397" s="243"/>
      <c r="C2397" s="241"/>
      <c r="D2397" s="241"/>
      <c r="E2397" s="241"/>
    </row>
    <row r="2398" spans="1:5" customFormat="1" ht="24.95" customHeight="1" x14ac:dyDescent="0.25">
      <c r="A2398" s="241"/>
      <c r="B2398" s="243"/>
      <c r="C2398" s="241"/>
      <c r="D2398" s="241"/>
      <c r="E2398" s="241"/>
    </row>
    <row r="2399" spans="1:5" customFormat="1" ht="24.95" customHeight="1" x14ac:dyDescent="0.25">
      <c r="A2399" s="241"/>
      <c r="B2399" s="243"/>
      <c r="C2399" s="241"/>
      <c r="D2399" s="241"/>
      <c r="E2399" s="241"/>
    </row>
    <row r="2400" spans="1:5" customFormat="1" ht="24.95" customHeight="1" x14ac:dyDescent="0.25">
      <c r="A2400" s="241"/>
      <c r="B2400" s="243"/>
      <c r="C2400" s="241"/>
      <c r="D2400" s="241"/>
      <c r="E2400" s="241"/>
    </row>
    <row r="2401" spans="1:5" customFormat="1" ht="24.95" customHeight="1" x14ac:dyDescent="0.25">
      <c r="A2401" s="241"/>
      <c r="B2401" s="243"/>
      <c r="C2401" s="241"/>
      <c r="D2401" s="241"/>
      <c r="E2401" s="241"/>
    </row>
    <row r="2402" spans="1:5" customFormat="1" ht="24.95" customHeight="1" x14ac:dyDescent="0.25">
      <c r="A2402" s="241"/>
      <c r="B2402" s="243"/>
      <c r="C2402" s="241"/>
      <c r="D2402" s="241"/>
      <c r="E2402" s="241"/>
    </row>
    <row r="2403" spans="1:5" customFormat="1" ht="24.95" customHeight="1" x14ac:dyDescent="0.25">
      <c r="A2403" s="241"/>
      <c r="B2403" s="243"/>
      <c r="C2403" s="241"/>
      <c r="D2403" s="241"/>
      <c r="E2403" s="241"/>
    </row>
    <row r="2404" spans="1:5" customFormat="1" ht="24.95" customHeight="1" x14ac:dyDescent="0.25">
      <c r="A2404" s="241"/>
      <c r="B2404" s="243"/>
      <c r="C2404" s="241"/>
      <c r="D2404" s="241"/>
      <c r="E2404" s="241"/>
    </row>
    <row r="2405" spans="1:5" customFormat="1" ht="24.95" customHeight="1" x14ac:dyDescent="0.25">
      <c r="A2405" s="241"/>
      <c r="B2405" s="243"/>
      <c r="C2405" s="241"/>
      <c r="D2405" s="241"/>
      <c r="E2405" s="241"/>
    </row>
    <row r="2406" spans="1:5" customFormat="1" ht="24.95" customHeight="1" x14ac:dyDescent="0.25">
      <c r="A2406" s="241"/>
      <c r="B2406" s="243"/>
      <c r="C2406" s="241"/>
      <c r="D2406" s="241"/>
      <c r="E2406" s="241"/>
    </row>
    <row r="2407" spans="1:5" customFormat="1" ht="24.95" customHeight="1" x14ac:dyDescent="0.25">
      <c r="A2407" s="241"/>
      <c r="B2407" s="243"/>
      <c r="C2407" s="241"/>
      <c r="D2407" s="241"/>
      <c r="E2407" s="241"/>
    </row>
    <row r="2408" spans="1:5" customFormat="1" ht="24.95" customHeight="1" x14ac:dyDescent="0.25">
      <c r="A2408" s="241"/>
      <c r="B2408" s="243"/>
      <c r="C2408" s="241"/>
      <c r="D2408" s="241"/>
      <c r="E2408" s="241"/>
    </row>
    <row r="2409" spans="1:5" customFormat="1" ht="24.95" customHeight="1" x14ac:dyDescent="0.25">
      <c r="A2409" s="241"/>
      <c r="B2409" s="243"/>
      <c r="C2409" s="241"/>
      <c r="D2409" s="241"/>
      <c r="E2409" s="241"/>
    </row>
    <row r="2410" spans="1:5" customFormat="1" ht="24.95" customHeight="1" x14ac:dyDescent="0.25">
      <c r="A2410" s="241"/>
      <c r="B2410" s="243"/>
      <c r="C2410" s="241"/>
      <c r="D2410" s="241"/>
      <c r="E2410" s="241"/>
    </row>
    <row r="2411" spans="1:5" customFormat="1" ht="24.95" customHeight="1" x14ac:dyDescent="0.25">
      <c r="A2411" s="241"/>
      <c r="B2411" s="243"/>
      <c r="C2411" s="241"/>
      <c r="D2411" s="241"/>
      <c r="E2411" s="241"/>
    </row>
    <row r="2412" spans="1:5" customFormat="1" ht="24.95" customHeight="1" x14ac:dyDescent="0.25">
      <c r="A2412" s="241"/>
      <c r="B2412" s="243"/>
      <c r="C2412" s="241"/>
      <c r="D2412" s="241"/>
      <c r="E2412" s="241"/>
    </row>
    <row r="2413" spans="1:5" customFormat="1" ht="24.95" customHeight="1" x14ac:dyDescent="0.25">
      <c r="A2413" s="241"/>
      <c r="B2413" s="243"/>
      <c r="C2413" s="241"/>
      <c r="D2413" s="241"/>
      <c r="E2413" s="241"/>
    </row>
    <row r="2414" spans="1:5" customFormat="1" ht="24.95" customHeight="1" x14ac:dyDescent="0.25">
      <c r="A2414" s="241"/>
      <c r="B2414" s="243"/>
      <c r="C2414" s="241"/>
      <c r="D2414" s="241"/>
      <c r="E2414" s="241"/>
    </row>
    <row r="2415" spans="1:5" customFormat="1" ht="24.95" customHeight="1" x14ac:dyDescent="0.25">
      <c r="A2415" s="241"/>
      <c r="B2415" s="243"/>
      <c r="C2415" s="241"/>
      <c r="D2415" s="241"/>
      <c r="E2415" s="241"/>
    </row>
    <row r="2416" spans="1:5" customFormat="1" ht="24.95" customHeight="1" x14ac:dyDescent="0.25">
      <c r="A2416" s="241"/>
      <c r="B2416" s="243"/>
      <c r="C2416" s="241"/>
      <c r="D2416" s="241"/>
      <c r="E2416" s="241"/>
    </row>
    <row r="2417" spans="1:5" customFormat="1" ht="24.95" customHeight="1" x14ac:dyDescent="0.25">
      <c r="A2417" s="241"/>
      <c r="B2417" s="243"/>
      <c r="C2417" s="241"/>
      <c r="D2417" s="241"/>
      <c r="E2417" s="241"/>
    </row>
    <row r="2418" spans="1:5" customFormat="1" ht="24.95" customHeight="1" x14ac:dyDescent="0.25">
      <c r="A2418" s="241"/>
      <c r="B2418" s="243"/>
      <c r="C2418" s="241"/>
      <c r="D2418" s="241"/>
      <c r="E2418" s="241"/>
    </row>
    <row r="2419" spans="1:5" customFormat="1" ht="24.95" customHeight="1" x14ac:dyDescent="0.25">
      <c r="A2419" s="241"/>
      <c r="B2419" s="243"/>
      <c r="C2419" s="241"/>
      <c r="D2419" s="241"/>
      <c r="E2419" s="241"/>
    </row>
    <row r="2420" spans="1:5" customFormat="1" ht="24.95" customHeight="1" x14ac:dyDescent="0.25">
      <c r="A2420" s="241"/>
      <c r="B2420" s="243"/>
      <c r="C2420" s="241"/>
      <c r="D2420" s="241"/>
      <c r="E2420" s="241"/>
    </row>
    <row r="2421" spans="1:5" customFormat="1" ht="24.95" customHeight="1" x14ac:dyDescent="0.25">
      <c r="A2421" s="241"/>
      <c r="B2421" s="243"/>
      <c r="C2421" s="241"/>
      <c r="D2421" s="241"/>
      <c r="E2421" s="241"/>
    </row>
    <row r="2422" spans="1:5" customFormat="1" ht="24.95" customHeight="1" x14ac:dyDescent="0.25">
      <c r="A2422" s="241"/>
      <c r="B2422" s="243"/>
      <c r="C2422" s="241"/>
      <c r="D2422" s="241"/>
      <c r="E2422" s="241"/>
    </row>
    <row r="2423" spans="1:5" customFormat="1" ht="24.95" customHeight="1" x14ac:dyDescent="0.25">
      <c r="A2423" s="241"/>
      <c r="B2423" s="243"/>
      <c r="C2423" s="241"/>
      <c r="D2423" s="241"/>
      <c r="E2423" s="241"/>
    </row>
    <row r="2424" spans="1:5" customFormat="1" ht="24.95" customHeight="1" x14ac:dyDescent="0.25">
      <c r="A2424" s="241"/>
      <c r="B2424" s="243"/>
      <c r="C2424" s="241"/>
      <c r="D2424" s="241"/>
      <c r="E2424" s="241"/>
    </row>
    <row r="2425" spans="1:5" customFormat="1" ht="24.95" customHeight="1" x14ac:dyDescent="0.25">
      <c r="A2425" s="241"/>
      <c r="B2425" s="243"/>
      <c r="C2425" s="241"/>
      <c r="D2425" s="241"/>
      <c r="E2425" s="241"/>
    </row>
    <row r="2426" spans="1:5" customFormat="1" ht="24.95" customHeight="1" x14ac:dyDescent="0.25">
      <c r="A2426" s="241"/>
      <c r="B2426" s="243"/>
      <c r="C2426" s="241"/>
      <c r="D2426" s="241"/>
      <c r="E2426" s="241"/>
    </row>
    <row r="2427" spans="1:5" customFormat="1" ht="24.95" customHeight="1" x14ac:dyDescent="0.25">
      <c r="A2427" s="241"/>
      <c r="B2427" s="243"/>
      <c r="C2427" s="241"/>
      <c r="D2427" s="241"/>
      <c r="E2427" s="241"/>
    </row>
    <row r="2428" spans="1:5" customFormat="1" ht="24.95" customHeight="1" x14ac:dyDescent="0.25">
      <c r="A2428" s="241"/>
      <c r="B2428" s="243"/>
      <c r="C2428" s="241"/>
      <c r="D2428" s="241"/>
      <c r="E2428" s="241"/>
    </row>
    <row r="2429" spans="1:5" customFormat="1" ht="24.95" customHeight="1" x14ac:dyDescent="0.25">
      <c r="A2429" s="241"/>
      <c r="B2429" s="243"/>
      <c r="C2429" s="241"/>
      <c r="D2429" s="241"/>
      <c r="E2429" s="241"/>
    </row>
    <row r="2430" spans="1:5" customFormat="1" ht="24.95" customHeight="1" x14ac:dyDescent="0.25">
      <c r="A2430" s="241"/>
      <c r="B2430" s="243"/>
      <c r="C2430" s="241"/>
      <c r="D2430" s="241"/>
      <c r="E2430" s="241"/>
    </row>
    <row r="2431" spans="1:5" customFormat="1" ht="24.95" customHeight="1" x14ac:dyDescent="0.25">
      <c r="A2431" s="241"/>
      <c r="B2431" s="243"/>
      <c r="C2431" s="241"/>
      <c r="D2431" s="241"/>
      <c r="E2431" s="241"/>
    </row>
    <row r="2432" spans="1:5" customFormat="1" ht="24.95" customHeight="1" x14ac:dyDescent="0.25">
      <c r="A2432" s="241"/>
      <c r="B2432" s="243"/>
      <c r="C2432" s="241"/>
      <c r="D2432" s="241"/>
      <c r="E2432" s="241"/>
    </row>
    <row r="2433" spans="1:5" customFormat="1" ht="24.95" customHeight="1" x14ac:dyDescent="0.25">
      <c r="A2433" s="241"/>
      <c r="B2433" s="243"/>
      <c r="C2433" s="241"/>
      <c r="D2433" s="241"/>
      <c r="E2433" s="241"/>
    </row>
    <row r="2434" spans="1:5" customFormat="1" ht="24.95" customHeight="1" x14ac:dyDescent="0.25">
      <c r="A2434" s="241"/>
      <c r="B2434" s="243"/>
      <c r="C2434" s="241"/>
      <c r="D2434" s="241"/>
      <c r="E2434" s="241"/>
    </row>
    <row r="2435" spans="1:5" customFormat="1" ht="24.95" customHeight="1" x14ac:dyDescent="0.25">
      <c r="A2435" s="241"/>
      <c r="B2435" s="243"/>
      <c r="C2435" s="241"/>
      <c r="D2435" s="241"/>
      <c r="E2435" s="241"/>
    </row>
    <row r="2436" spans="1:5" customFormat="1" ht="24.95" customHeight="1" x14ac:dyDescent="0.25">
      <c r="A2436" s="241"/>
      <c r="B2436" s="243"/>
      <c r="C2436" s="241"/>
      <c r="D2436" s="241"/>
      <c r="E2436" s="241"/>
    </row>
    <row r="2437" spans="1:5" customFormat="1" ht="24.95" customHeight="1" x14ac:dyDescent="0.25">
      <c r="A2437" s="241"/>
      <c r="B2437" s="243"/>
      <c r="C2437" s="241"/>
      <c r="D2437" s="241"/>
      <c r="E2437" s="241"/>
    </row>
    <row r="2438" spans="1:5" customFormat="1" ht="24.95" customHeight="1" x14ac:dyDescent="0.25">
      <c r="A2438" s="241"/>
      <c r="B2438" s="243"/>
      <c r="C2438" s="241"/>
      <c r="D2438" s="241"/>
      <c r="E2438" s="241"/>
    </row>
    <row r="2439" spans="1:5" customFormat="1" ht="24.95" customHeight="1" x14ac:dyDescent="0.25">
      <c r="A2439" s="241"/>
      <c r="B2439" s="243"/>
      <c r="C2439" s="241"/>
      <c r="D2439" s="241"/>
      <c r="E2439" s="241"/>
    </row>
    <row r="2440" spans="1:5" customFormat="1" ht="24.95" customHeight="1" x14ac:dyDescent="0.25">
      <c r="A2440" s="241"/>
      <c r="B2440" s="243"/>
      <c r="C2440" s="241"/>
      <c r="D2440" s="241"/>
      <c r="E2440" s="241"/>
    </row>
    <row r="2441" spans="1:5" customFormat="1" ht="24.95" customHeight="1" x14ac:dyDescent="0.25">
      <c r="A2441" s="241"/>
      <c r="B2441" s="243"/>
      <c r="C2441" s="241"/>
      <c r="D2441" s="241"/>
      <c r="E2441" s="241"/>
    </row>
    <row r="2442" spans="1:5" customFormat="1" ht="24.95" customHeight="1" x14ac:dyDescent="0.25">
      <c r="A2442" s="241"/>
      <c r="B2442" s="243"/>
      <c r="C2442" s="241"/>
      <c r="D2442" s="241"/>
      <c r="E2442" s="241"/>
    </row>
    <row r="2443" spans="1:5" customFormat="1" ht="24.95" customHeight="1" x14ac:dyDescent="0.25">
      <c r="A2443" s="241"/>
      <c r="B2443" s="243"/>
      <c r="C2443" s="241"/>
      <c r="D2443" s="241"/>
      <c r="E2443" s="241"/>
    </row>
    <row r="2444" spans="1:5" customFormat="1" ht="24.95" customHeight="1" x14ac:dyDescent="0.25">
      <c r="A2444" s="241"/>
      <c r="B2444" s="243"/>
      <c r="C2444" s="241"/>
      <c r="D2444" s="241"/>
      <c r="E2444" s="241"/>
    </row>
    <row r="2445" spans="1:5" customFormat="1" ht="24.95" customHeight="1" x14ac:dyDescent="0.25">
      <c r="A2445" s="241"/>
      <c r="B2445" s="243"/>
      <c r="C2445" s="241"/>
      <c r="D2445" s="241"/>
      <c r="E2445" s="241"/>
    </row>
    <row r="2446" spans="1:5" customFormat="1" ht="24.95" customHeight="1" x14ac:dyDescent="0.25">
      <c r="A2446" s="241"/>
      <c r="B2446" s="243"/>
      <c r="C2446" s="241"/>
      <c r="D2446" s="241"/>
      <c r="E2446" s="241"/>
    </row>
    <row r="2447" spans="1:5" customFormat="1" ht="24.95" customHeight="1" x14ac:dyDescent="0.25">
      <c r="A2447" s="241"/>
      <c r="B2447" s="243"/>
      <c r="C2447" s="241"/>
      <c r="D2447" s="241"/>
      <c r="E2447" s="241"/>
    </row>
    <row r="2448" spans="1:5" customFormat="1" ht="24.95" customHeight="1" x14ac:dyDescent="0.25">
      <c r="A2448" s="241"/>
      <c r="B2448" s="243"/>
      <c r="C2448" s="241"/>
      <c r="D2448" s="241"/>
      <c r="E2448" s="241"/>
    </row>
    <row r="2449" spans="1:5" customFormat="1" ht="24.95" customHeight="1" x14ac:dyDescent="0.25">
      <c r="A2449" s="241"/>
      <c r="B2449" s="243"/>
      <c r="C2449" s="241"/>
      <c r="D2449" s="241"/>
      <c r="E2449" s="241"/>
    </row>
    <row r="2450" spans="1:5" customFormat="1" ht="24.95" customHeight="1" x14ac:dyDescent="0.25">
      <c r="A2450" s="241"/>
      <c r="B2450" s="243"/>
      <c r="C2450" s="241"/>
      <c r="D2450" s="241"/>
      <c r="E2450" s="241"/>
    </row>
    <row r="2451" spans="1:5" customFormat="1" ht="24.95" customHeight="1" x14ac:dyDescent="0.25">
      <c r="A2451" s="241"/>
      <c r="B2451" s="243"/>
      <c r="C2451" s="241"/>
      <c r="D2451" s="241"/>
      <c r="E2451" s="241"/>
    </row>
    <row r="2452" spans="1:5" customFormat="1" ht="24.95" customHeight="1" x14ac:dyDescent="0.25">
      <c r="A2452" s="241"/>
      <c r="B2452" s="243"/>
      <c r="C2452" s="241"/>
      <c r="D2452" s="241"/>
      <c r="E2452" s="241"/>
    </row>
    <row r="2453" spans="1:5" customFormat="1" ht="24.95" customHeight="1" x14ac:dyDescent="0.25">
      <c r="A2453" s="241"/>
      <c r="B2453" s="243"/>
      <c r="C2453" s="241"/>
      <c r="D2453" s="241"/>
      <c r="E2453" s="241"/>
    </row>
    <row r="2454" spans="1:5" customFormat="1" ht="24.95" customHeight="1" x14ac:dyDescent="0.25">
      <c r="A2454" s="241"/>
      <c r="B2454" s="243"/>
      <c r="C2454" s="241"/>
      <c r="D2454" s="241"/>
      <c r="E2454" s="241"/>
    </row>
    <row r="2455" spans="1:5" customFormat="1" ht="24.95" customHeight="1" x14ac:dyDescent="0.25">
      <c r="A2455" s="241"/>
      <c r="B2455" s="243"/>
      <c r="C2455" s="241"/>
      <c r="D2455" s="241"/>
      <c r="E2455" s="241"/>
    </row>
    <row r="2456" spans="1:5" customFormat="1" ht="24.95" customHeight="1" x14ac:dyDescent="0.25">
      <c r="A2456" s="241"/>
      <c r="B2456" s="243"/>
      <c r="C2456" s="241"/>
      <c r="D2456" s="241"/>
      <c r="E2456" s="241"/>
    </row>
    <row r="2457" spans="1:5" customFormat="1" ht="24.95" customHeight="1" x14ac:dyDescent="0.25">
      <c r="A2457" s="241"/>
      <c r="B2457" s="243"/>
      <c r="C2457" s="241"/>
      <c r="D2457" s="241"/>
      <c r="E2457" s="241"/>
    </row>
    <row r="2458" spans="1:5" customFormat="1" ht="24.95" customHeight="1" x14ac:dyDescent="0.25">
      <c r="A2458" s="241"/>
      <c r="B2458" s="243"/>
      <c r="C2458" s="241"/>
      <c r="D2458" s="241"/>
      <c r="E2458" s="241"/>
    </row>
    <row r="2459" spans="1:5" customFormat="1" ht="24.95" customHeight="1" x14ac:dyDescent="0.25">
      <c r="A2459" s="241"/>
      <c r="B2459" s="243"/>
      <c r="C2459" s="241"/>
      <c r="D2459" s="241"/>
      <c r="E2459" s="241"/>
    </row>
    <row r="2460" spans="1:5" customFormat="1" ht="24.95" customHeight="1" x14ac:dyDescent="0.25">
      <c r="A2460" s="241"/>
      <c r="B2460" s="243"/>
      <c r="C2460" s="241"/>
      <c r="D2460" s="241"/>
      <c r="E2460" s="241"/>
    </row>
    <row r="2461" spans="1:5" customFormat="1" ht="24.95" customHeight="1" x14ac:dyDescent="0.25">
      <c r="A2461" s="241"/>
      <c r="B2461" s="243"/>
      <c r="C2461" s="241"/>
      <c r="D2461" s="241"/>
      <c r="E2461" s="241"/>
    </row>
    <row r="2462" spans="1:5" customFormat="1" ht="24.95" customHeight="1" x14ac:dyDescent="0.25">
      <c r="A2462" s="241"/>
      <c r="B2462" s="243"/>
      <c r="C2462" s="241"/>
      <c r="D2462" s="241"/>
      <c r="E2462" s="241"/>
    </row>
    <row r="2463" spans="1:5" customFormat="1" ht="24.95" customHeight="1" x14ac:dyDescent="0.25">
      <c r="A2463" s="241"/>
      <c r="B2463" s="243"/>
      <c r="C2463" s="241"/>
      <c r="D2463" s="241"/>
      <c r="E2463" s="241"/>
    </row>
    <row r="2464" spans="1:5" customFormat="1" ht="24.95" customHeight="1" x14ac:dyDescent="0.25">
      <c r="A2464" s="241"/>
      <c r="B2464" s="243"/>
      <c r="C2464" s="241"/>
      <c r="D2464" s="241"/>
      <c r="E2464" s="241"/>
    </row>
    <row r="2465" spans="1:5" customFormat="1" ht="24.95" customHeight="1" x14ac:dyDescent="0.25">
      <c r="A2465" s="241"/>
      <c r="B2465" s="243"/>
      <c r="C2465" s="241"/>
      <c r="D2465" s="241"/>
      <c r="E2465" s="241"/>
    </row>
    <row r="2466" spans="1:5" customFormat="1" ht="24.95" customHeight="1" x14ac:dyDescent="0.25">
      <c r="A2466" s="241"/>
      <c r="B2466" s="243"/>
      <c r="C2466" s="241"/>
      <c r="D2466" s="241"/>
      <c r="E2466" s="241"/>
    </row>
    <row r="2467" spans="1:5" customFormat="1" ht="24.95" customHeight="1" x14ac:dyDescent="0.25">
      <c r="A2467" s="241"/>
      <c r="B2467" s="243"/>
      <c r="C2467" s="241"/>
      <c r="D2467" s="241"/>
      <c r="E2467" s="241"/>
    </row>
    <row r="2468" spans="1:5" customFormat="1" ht="24.95" customHeight="1" x14ac:dyDescent="0.25">
      <c r="A2468" s="241"/>
      <c r="B2468" s="243"/>
      <c r="C2468" s="241"/>
      <c r="D2468" s="241"/>
      <c r="E2468" s="241"/>
    </row>
    <row r="2469" spans="1:5" customFormat="1" ht="24.95" customHeight="1" x14ac:dyDescent="0.25">
      <c r="A2469" s="241"/>
      <c r="B2469" s="243"/>
      <c r="C2469" s="241"/>
      <c r="D2469" s="241"/>
      <c r="E2469" s="241"/>
    </row>
    <row r="2470" spans="1:5" customFormat="1" ht="24.95" customHeight="1" x14ac:dyDescent="0.25">
      <c r="A2470" s="241"/>
      <c r="B2470" s="243"/>
      <c r="C2470" s="241"/>
      <c r="D2470" s="241"/>
      <c r="E2470" s="241"/>
    </row>
    <row r="2471" spans="1:5" customFormat="1" ht="24.95" customHeight="1" x14ac:dyDescent="0.25">
      <c r="A2471" s="241"/>
      <c r="B2471" s="243"/>
      <c r="C2471" s="241"/>
      <c r="D2471" s="241"/>
      <c r="E2471" s="241"/>
    </row>
    <row r="2472" spans="1:5" customFormat="1" ht="24.95" customHeight="1" x14ac:dyDescent="0.25">
      <c r="A2472" s="241"/>
      <c r="B2472" s="243"/>
      <c r="C2472" s="241"/>
      <c r="D2472" s="241"/>
      <c r="E2472" s="241"/>
    </row>
    <row r="2473" spans="1:5" customFormat="1" ht="24.95" customHeight="1" x14ac:dyDescent="0.25">
      <c r="A2473" s="241"/>
      <c r="B2473" s="243"/>
      <c r="C2473" s="241"/>
      <c r="D2473" s="241"/>
      <c r="E2473" s="241"/>
    </row>
    <row r="2474" spans="1:5" customFormat="1" ht="24.95" customHeight="1" x14ac:dyDescent="0.25">
      <c r="A2474" s="241"/>
      <c r="B2474" s="243"/>
      <c r="C2474" s="241"/>
      <c r="D2474" s="241"/>
      <c r="E2474" s="241"/>
    </row>
    <row r="2475" spans="1:5" customFormat="1" ht="24.95" customHeight="1" x14ac:dyDescent="0.25">
      <c r="A2475" s="241"/>
      <c r="B2475" s="243"/>
      <c r="C2475" s="241"/>
      <c r="D2475" s="241"/>
      <c r="E2475" s="241"/>
    </row>
    <row r="2476" spans="1:5" customFormat="1" ht="24.95" customHeight="1" x14ac:dyDescent="0.25">
      <c r="A2476" s="241"/>
      <c r="B2476" s="243"/>
      <c r="C2476" s="241"/>
      <c r="D2476" s="241"/>
      <c r="E2476" s="241"/>
    </row>
    <row r="2477" spans="1:5" customFormat="1" ht="24.95" customHeight="1" x14ac:dyDescent="0.25">
      <c r="A2477" s="241"/>
      <c r="B2477" s="243"/>
      <c r="C2477" s="241"/>
      <c r="D2477" s="241"/>
      <c r="E2477" s="241"/>
    </row>
    <row r="2478" spans="1:5" customFormat="1" ht="24.95" customHeight="1" x14ac:dyDescent="0.25">
      <c r="A2478" s="241"/>
      <c r="B2478" s="243"/>
      <c r="C2478" s="241"/>
      <c r="D2478" s="241"/>
      <c r="E2478" s="241"/>
    </row>
    <row r="2479" spans="1:5" customFormat="1" ht="24.95" customHeight="1" x14ac:dyDescent="0.25">
      <c r="A2479" s="241"/>
      <c r="B2479" s="243"/>
      <c r="C2479" s="241"/>
      <c r="D2479" s="241"/>
      <c r="E2479" s="241"/>
    </row>
    <row r="2480" spans="1:5" customFormat="1" ht="24.95" customHeight="1" x14ac:dyDescent="0.25">
      <c r="A2480" s="241"/>
      <c r="B2480" s="243"/>
      <c r="C2480" s="241"/>
      <c r="D2480" s="241"/>
      <c r="E2480" s="241"/>
    </row>
    <row r="2481" spans="1:5" customFormat="1" ht="24.95" customHeight="1" x14ac:dyDescent="0.25">
      <c r="A2481" s="241"/>
      <c r="B2481" s="243"/>
      <c r="C2481" s="241"/>
      <c r="D2481" s="241"/>
      <c r="E2481" s="241"/>
    </row>
    <row r="2482" spans="1:5" customFormat="1" ht="24.95" customHeight="1" x14ac:dyDescent="0.25">
      <c r="A2482" s="241"/>
      <c r="B2482" s="243"/>
      <c r="C2482" s="241"/>
      <c r="D2482" s="241"/>
      <c r="E2482" s="241"/>
    </row>
    <row r="2483" spans="1:5" customFormat="1" ht="24.95" customHeight="1" x14ac:dyDescent="0.25">
      <c r="A2483" s="241"/>
      <c r="B2483" s="243"/>
      <c r="C2483" s="241"/>
      <c r="D2483" s="241"/>
      <c r="E2483" s="241"/>
    </row>
    <row r="2484" spans="1:5" customFormat="1" ht="24.95" customHeight="1" x14ac:dyDescent="0.25">
      <c r="A2484" s="241"/>
      <c r="B2484" s="243"/>
      <c r="C2484" s="241"/>
      <c r="D2484" s="241"/>
      <c r="E2484" s="241"/>
    </row>
    <row r="2485" spans="1:5" customFormat="1" ht="24.95" customHeight="1" x14ac:dyDescent="0.25">
      <c r="A2485" s="241"/>
      <c r="B2485" s="243"/>
      <c r="C2485" s="241"/>
      <c r="D2485" s="241"/>
      <c r="E2485" s="241"/>
    </row>
    <row r="2486" spans="1:5" customFormat="1" ht="24.95" customHeight="1" x14ac:dyDescent="0.25">
      <c r="A2486" s="241"/>
      <c r="B2486" s="243"/>
      <c r="C2486" s="241"/>
      <c r="D2486" s="241"/>
      <c r="E2486" s="241"/>
    </row>
    <row r="2487" spans="1:5" customFormat="1" ht="24.95" customHeight="1" x14ac:dyDescent="0.25">
      <c r="A2487" s="241"/>
      <c r="B2487" s="243"/>
      <c r="C2487" s="241"/>
      <c r="D2487" s="241"/>
      <c r="E2487" s="241"/>
    </row>
    <row r="2488" spans="1:5" customFormat="1" ht="24.95" customHeight="1" x14ac:dyDescent="0.25">
      <c r="A2488" s="241"/>
      <c r="B2488" s="243"/>
      <c r="C2488" s="241"/>
      <c r="D2488" s="241"/>
      <c r="E2488" s="241"/>
    </row>
    <row r="2489" spans="1:5" customFormat="1" ht="24.95" customHeight="1" x14ac:dyDescent="0.25">
      <c r="A2489" s="241"/>
      <c r="B2489" s="243"/>
      <c r="C2489" s="241"/>
      <c r="D2489" s="241"/>
      <c r="E2489" s="241"/>
    </row>
    <row r="2490" spans="1:5" customFormat="1" ht="24.95" customHeight="1" x14ac:dyDescent="0.25">
      <c r="A2490" s="241"/>
      <c r="B2490" s="243"/>
      <c r="C2490" s="241"/>
      <c r="D2490" s="241"/>
      <c r="E2490" s="241"/>
    </row>
    <row r="2491" spans="1:5" customFormat="1" ht="24.95" customHeight="1" x14ac:dyDescent="0.25">
      <c r="A2491" s="241"/>
      <c r="B2491" s="243"/>
      <c r="C2491" s="241"/>
      <c r="D2491" s="241"/>
      <c r="E2491" s="241"/>
    </row>
    <row r="2492" spans="1:5" customFormat="1" ht="24.95" customHeight="1" x14ac:dyDescent="0.25">
      <c r="A2492" s="241"/>
      <c r="B2492" s="243"/>
      <c r="C2492" s="241"/>
      <c r="D2492" s="241"/>
      <c r="E2492" s="241"/>
    </row>
    <row r="2493" spans="1:5" customFormat="1" ht="24.95" customHeight="1" x14ac:dyDescent="0.25">
      <c r="A2493" s="241"/>
      <c r="B2493" s="243"/>
      <c r="C2493" s="241"/>
      <c r="D2493" s="241"/>
      <c r="E2493" s="241"/>
    </row>
    <row r="2494" spans="1:5" customFormat="1" ht="24.95" customHeight="1" x14ac:dyDescent="0.25">
      <c r="A2494" s="241"/>
      <c r="B2494" s="243"/>
      <c r="C2494" s="241"/>
      <c r="D2494" s="241"/>
      <c r="E2494" s="241"/>
    </row>
    <row r="2495" spans="1:5" customFormat="1" ht="24.95" customHeight="1" x14ac:dyDescent="0.25">
      <c r="A2495" s="241"/>
      <c r="B2495" s="243"/>
      <c r="C2495" s="241"/>
      <c r="D2495" s="241"/>
      <c r="E2495" s="241"/>
    </row>
    <row r="2496" spans="1:5" customFormat="1" ht="24.95" customHeight="1" x14ac:dyDescent="0.25">
      <c r="A2496" s="241"/>
      <c r="B2496" s="243"/>
      <c r="C2496" s="241"/>
      <c r="D2496" s="241"/>
      <c r="E2496" s="241"/>
    </row>
    <row r="2497" spans="1:5" customFormat="1" ht="24.95" customHeight="1" x14ac:dyDescent="0.25">
      <c r="A2497" s="241"/>
      <c r="B2497" s="243"/>
      <c r="C2497" s="241"/>
      <c r="D2497" s="241"/>
      <c r="E2497" s="241"/>
    </row>
    <row r="2498" spans="1:5" customFormat="1" ht="24.95" customHeight="1" x14ac:dyDescent="0.25">
      <c r="A2498" s="241"/>
      <c r="B2498" s="243"/>
      <c r="C2498" s="241"/>
      <c r="D2498" s="241"/>
      <c r="E2498" s="241"/>
    </row>
    <row r="2499" spans="1:5" customFormat="1" ht="24.95" customHeight="1" x14ac:dyDescent="0.25">
      <c r="A2499" s="241"/>
      <c r="B2499" s="243"/>
      <c r="C2499" s="241"/>
      <c r="D2499" s="241"/>
      <c r="E2499" s="241"/>
    </row>
    <row r="2500" spans="1:5" customFormat="1" ht="24.95" customHeight="1" x14ac:dyDescent="0.25">
      <c r="A2500" s="241"/>
      <c r="B2500" s="243"/>
      <c r="C2500" s="241"/>
      <c r="D2500" s="241"/>
      <c r="E2500" s="241"/>
    </row>
    <row r="2501" spans="1:5" customFormat="1" ht="24.95" customHeight="1" x14ac:dyDescent="0.25">
      <c r="A2501" s="241"/>
      <c r="B2501" s="243"/>
      <c r="C2501" s="241"/>
      <c r="D2501" s="241"/>
      <c r="E2501" s="241"/>
    </row>
    <row r="2502" spans="1:5" customFormat="1" ht="24.95" customHeight="1" x14ac:dyDescent="0.25">
      <c r="A2502" s="241"/>
      <c r="B2502" s="243"/>
      <c r="C2502" s="241"/>
      <c r="D2502" s="241"/>
      <c r="E2502" s="241"/>
    </row>
    <row r="2503" spans="1:5" customFormat="1" ht="24.95" customHeight="1" x14ac:dyDescent="0.25">
      <c r="A2503" s="241"/>
      <c r="B2503" s="243"/>
      <c r="C2503" s="241"/>
      <c r="D2503" s="241"/>
      <c r="E2503" s="241"/>
    </row>
    <row r="2504" spans="1:5" customFormat="1" ht="24.95" customHeight="1" x14ac:dyDescent="0.25">
      <c r="A2504" s="241"/>
      <c r="B2504" s="243"/>
      <c r="C2504" s="241"/>
      <c r="D2504" s="241"/>
      <c r="E2504" s="241"/>
    </row>
    <row r="2505" spans="1:5" customFormat="1" ht="24.95" customHeight="1" x14ac:dyDescent="0.25">
      <c r="A2505" s="241"/>
      <c r="B2505" s="243"/>
      <c r="C2505" s="241"/>
      <c r="D2505" s="241"/>
      <c r="E2505" s="241"/>
    </row>
    <row r="2506" spans="1:5" customFormat="1" ht="24.95" customHeight="1" x14ac:dyDescent="0.25">
      <c r="A2506" s="241"/>
      <c r="B2506" s="243"/>
      <c r="C2506" s="241"/>
      <c r="D2506" s="241"/>
      <c r="E2506" s="241"/>
    </row>
    <row r="2507" spans="1:5" customFormat="1" ht="24.95" customHeight="1" x14ac:dyDescent="0.25">
      <c r="A2507" s="241"/>
      <c r="B2507" s="243"/>
      <c r="C2507" s="241"/>
      <c r="D2507" s="241"/>
      <c r="E2507" s="241"/>
    </row>
    <row r="2508" spans="1:5" customFormat="1" ht="24.95" customHeight="1" x14ac:dyDescent="0.25">
      <c r="A2508" s="241"/>
      <c r="B2508" s="243"/>
      <c r="C2508" s="241"/>
      <c r="D2508" s="241"/>
      <c r="E2508" s="241"/>
    </row>
    <row r="2509" spans="1:5" customFormat="1" ht="24.95" customHeight="1" x14ac:dyDescent="0.25">
      <c r="A2509" s="241"/>
      <c r="B2509" s="243"/>
      <c r="C2509" s="241"/>
      <c r="D2509" s="241"/>
      <c r="E2509" s="241"/>
    </row>
    <row r="2510" spans="1:5" customFormat="1" ht="24.95" customHeight="1" x14ac:dyDescent="0.25">
      <c r="A2510" s="241"/>
      <c r="B2510" s="243"/>
      <c r="C2510" s="241"/>
      <c r="D2510" s="241"/>
      <c r="E2510" s="241"/>
    </row>
    <row r="2511" spans="1:5" customFormat="1" ht="24.95" customHeight="1" x14ac:dyDescent="0.25">
      <c r="A2511" s="241"/>
      <c r="B2511" s="243"/>
      <c r="C2511" s="241"/>
      <c r="D2511" s="241"/>
      <c r="E2511" s="241"/>
    </row>
    <row r="2512" spans="1:5" customFormat="1" ht="24.95" customHeight="1" x14ac:dyDescent="0.25">
      <c r="A2512" s="241"/>
      <c r="B2512" s="243"/>
      <c r="C2512" s="241"/>
      <c r="D2512" s="241"/>
      <c r="E2512" s="241"/>
    </row>
    <row r="2513" spans="1:5" customFormat="1" ht="24.95" customHeight="1" x14ac:dyDescent="0.25">
      <c r="A2513" s="241"/>
      <c r="B2513" s="243"/>
      <c r="C2513" s="241"/>
      <c r="D2513" s="241"/>
      <c r="E2513" s="241"/>
    </row>
    <row r="2514" spans="1:5" customFormat="1" ht="24.95" customHeight="1" x14ac:dyDescent="0.25">
      <c r="A2514" s="241"/>
      <c r="B2514" s="243"/>
      <c r="C2514" s="241"/>
      <c r="D2514" s="241"/>
      <c r="E2514" s="241"/>
    </row>
    <row r="2515" spans="1:5" customFormat="1" ht="24.95" customHeight="1" x14ac:dyDescent="0.25">
      <c r="A2515" s="241"/>
      <c r="B2515" s="243"/>
      <c r="C2515" s="241"/>
      <c r="D2515" s="241"/>
      <c r="E2515" s="241"/>
    </row>
    <row r="2516" spans="1:5" customFormat="1" ht="24.95" customHeight="1" x14ac:dyDescent="0.25">
      <c r="A2516" s="241"/>
      <c r="B2516" s="243"/>
      <c r="C2516" s="241"/>
      <c r="D2516" s="241"/>
      <c r="E2516" s="241"/>
    </row>
    <row r="2517" spans="1:5" customFormat="1" ht="24.95" customHeight="1" x14ac:dyDescent="0.25">
      <c r="A2517" s="241"/>
      <c r="B2517" s="243"/>
      <c r="C2517" s="241"/>
      <c r="D2517" s="241"/>
      <c r="E2517" s="241"/>
    </row>
    <row r="2518" spans="1:5" customFormat="1" ht="24.95" customHeight="1" x14ac:dyDescent="0.25">
      <c r="A2518" s="241"/>
      <c r="B2518" s="243"/>
      <c r="C2518" s="241"/>
      <c r="D2518" s="241"/>
      <c r="E2518" s="241"/>
    </row>
    <row r="2519" spans="1:5" customFormat="1" ht="24.95" customHeight="1" x14ac:dyDescent="0.25">
      <c r="A2519" s="241"/>
      <c r="B2519" s="243"/>
      <c r="C2519" s="241"/>
      <c r="D2519" s="241"/>
      <c r="E2519" s="241"/>
    </row>
    <row r="2520" spans="1:5" customFormat="1" ht="24.95" customHeight="1" x14ac:dyDescent="0.25">
      <c r="A2520" s="241"/>
      <c r="B2520" s="243"/>
      <c r="C2520" s="241"/>
      <c r="D2520" s="241"/>
      <c r="E2520" s="241"/>
    </row>
    <row r="2521" spans="1:5" customFormat="1" ht="24.95" customHeight="1" x14ac:dyDescent="0.25">
      <c r="A2521" s="241"/>
      <c r="B2521" s="243"/>
      <c r="C2521" s="241"/>
      <c r="D2521" s="241"/>
      <c r="E2521" s="241"/>
    </row>
    <row r="2522" spans="1:5" customFormat="1" ht="24.95" customHeight="1" x14ac:dyDescent="0.25">
      <c r="A2522" s="241"/>
      <c r="B2522" s="243"/>
      <c r="C2522" s="241"/>
      <c r="D2522" s="241"/>
      <c r="E2522" s="241"/>
    </row>
    <row r="2523" spans="1:5" customFormat="1" ht="24.95" customHeight="1" x14ac:dyDescent="0.25">
      <c r="A2523" s="241"/>
      <c r="B2523" s="243"/>
      <c r="C2523" s="241"/>
      <c r="D2523" s="241"/>
      <c r="E2523" s="241"/>
    </row>
    <row r="2524" spans="1:5" customFormat="1" ht="24.95" customHeight="1" x14ac:dyDescent="0.25">
      <c r="A2524" s="241"/>
      <c r="B2524" s="243"/>
      <c r="C2524" s="241"/>
      <c r="D2524" s="241"/>
      <c r="E2524" s="241"/>
    </row>
    <row r="2525" spans="1:5" customFormat="1" ht="24.95" customHeight="1" x14ac:dyDescent="0.25">
      <c r="A2525" s="241"/>
      <c r="B2525" s="243"/>
      <c r="C2525" s="241"/>
      <c r="D2525" s="241"/>
      <c r="E2525" s="241"/>
    </row>
    <row r="2526" spans="1:5" customFormat="1" ht="24.95" customHeight="1" x14ac:dyDescent="0.25">
      <c r="A2526" s="241"/>
      <c r="B2526" s="243"/>
      <c r="C2526" s="241"/>
      <c r="D2526" s="241"/>
      <c r="E2526" s="241"/>
    </row>
    <row r="2527" spans="1:5" customFormat="1" ht="24.95" customHeight="1" x14ac:dyDescent="0.25">
      <c r="A2527" s="241"/>
      <c r="B2527" s="243"/>
      <c r="C2527" s="241"/>
      <c r="D2527" s="241"/>
      <c r="E2527" s="241"/>
    </row>
    <row r="2528" spans="1:5" customFormat="1" ht="24.95" customHeight="1" x14ac:dyDescent="0.25">
      <c r="A2528" s="241"/>
      <c r="B2528" s="243"/>
      <c r="C2528" s="241"/>
      <c r="D2528" s="241"/>
      <c r="E2528" s="241"/>
    </row>
    <row r="2529" spans="1:5" customFormat="1" ht="24.95" customHeight="1" x14ac:dyDescent="0.25">
      <c r="A2529" s="241"/>
      <c r="B2529" s="243"/>
      <c r="C2529" s="241"/>
      <c r="D2529" s="241"/>
      <c r="E2529" s="241"/>
    </row>
    <row r="2530" spans="1:5" customFormat="1" ht="24.95" customHeight="1" x14ac:dyDescent="0.25">
      <c r="A2530" s="241"/>
      <c r="B2530" s="243"/>
      <c r="C2530" s="241"/>
      <c r="D2530" s="241"/>
      <c r="E2530" s="241"/>
    </row>
    <row r="2531" spans="1:5" customFormat="1" ht="24.95" customHeight="1" x14ac:dyDescent="0.25">
      <c r="A2531" s="241"/>
      <c r="B2531" s="243"/>
      <c r="C2531" s="241"/>
      <c r="D2531" s="241"/>
      <c r="E2531" s="241"/>
    </row>
    <row r="2532" spans="1:5" customFormat="1" ht="24.95" customHeight="1" x14ac:dyDescent="0.25">
      <c r="A2532" s="241"/>
      <c r="B2532" s="243"/>
      <c r="C2532" s="241"/>
      <c r="D2532" s="241"/>
      <c r="E2532" s="241"/>
    </row>
    <row r="2533" spans="1:5" customFormat="1" ht="24.95" customHeight="1" x14ac:dyDescent="0.25">
      <c r="A2533" s="241"/>
      <c r="B2533" s="243"/>
      <c r="C2533" s="241"/>
      <c r="D2533" s="241"/>
      <c r="E2533" s="241"/>
    </row>
    <row r="2534" spans="1:5" customFormat="1" ht="24.95" customHeight="1" x14ac:dyDescent="0.25">
      <c r="A2534" s="241"/>
      <c r="B2534" s="243"/>
      <c r="C2534" s="241"/>
      <c r="D2534" s="241"/>
      <c r="E2534" s="241"/>
    </row>
    <row r="2535" spans="1:5" customFormat="1" ht="24.95" customHeight="1" x14ac:dyDescent="0.25">
      <c r="A2535" s="241"/>
      <c r="B2535" s="243"/>
      <c r="C2535" s="241"/>
      <c r="D2535" s="241"/>
      <c r="E2535" s="241"/>
    </row>
    <row r="2536" spans="1:5" customFormat="1" ht="24.95" customHeight="1" x14ac:dyDescent="0.25">
      <c r="A2536" s="241"/>
      <c r="B2536" s="243"/>
      <c r="C2536" s="241"/>
      <c r="D2536" s="241"/>
      <c r="E2536" s="241"/>
    </row>
    <row r="2537" spans="1:5" customFormat="1" ht="24.95" customHeight="1" x14ac:dyDescent="0.25">
      <c r="A2537" s="241"/>
      <c r="B2537" s="243"/>
      <c r="C2537" s="241"/>
      <c r="D2537" s="241"/>
      <c r="E2537" s="241"/>
    </row>
    <row r="2538" spans="1:5" customFormat="1" ht="24.95" customHeight="1" x14ac:dyDescent="0.25">
      <c r="A2538" s="241"/>
      <c r="B2538" s="243"/>
      <c r="C2538" s="241"/>
      <c r="D2538" s="241"/>
      <c r="E2538" s="241"/>
    </row>
    <row r="2539" spans="1:5" customFormat="1" ht="24.95" customHeight="1" x14ac:dyDescent="0.25">
      <c r="A2539" s="241"/>
      <c r="B2539" s="243"/>
      <c r="C2539" s="241"/>
      <c r="D2539" s="241"/>
      <c r="E2539" s="241"/>
    </row>
    <row r="2540" spans="1:5" customFormat="1" ht="24.95" customHeight="1" x14ac:dyDescent="0.25">
      <c r="A2540" s="241"/>
      <c r="B2540" s="243"/>
      <c r="C2540" s="241"/>
      <c r="D2540" s="241"/>
      <c r="E2540" s="241"/>
    </row>
    <row r="2541" spans="1:5" customFormat="1" ht="24.95" customHeight="1" x14ac:dyDescent="0.25">
      <c r="A2541" s="241"/>
      <c r="B2541" s="243"/>
      <c r="C2541" s="241"/>
      <c r="D2541" s="241"/>
      <c r="E2541" s="241"/>
    </row>
    <row r="2542" spans="1:5" customFormat="1" ht="24.95" customHeight="1" x14ac:dyDescent="0.25">
      <c r="A2542" s="241"/>
      <c r="B2542" s="243"/>
      <c r="C2542" s="241"/>
      <c r="D2542" s="241"/>
      <c r="E2542" s="241"/>
    </row>
    <row r="2543" spans="1:5" customFormat="1" ht="24.95" customHeight="1" x14ac:dyDescent="0.25">
      <c r="A2543" s="241"/>
      <c r="B2543" s="243"/>
      <c r="C2543" s="241"/>
      <c r="D2543" s="241"/>
      <c r="E2543" s="241"/>
    </row>
    <row r="2544" spans="1:5" customFormat="1" ht="24.95" customHeight="1" x14ac:dyDescent="0.25">
      <c r="A2544" s="241"/>
      <c r="B2544" s="243"/>
      <c r="C2544" s="241"/>
      <c r="D2544" s="241"/>
      <c r="E2544" s="241"/>
    </row>
    <row r="2545" spans="1:5" customFormat="1" ht="24.95" customHeight="1" x14ac:dyDescent="0.25">
      <c r="A2545" s="241"/>
      <c r="B2545" s="243"/>
      <c r="C2545" s="241"/>
      <c r="D2545" s="241"/>
      <c r="E2545" s="241"/>
    </row>
    <row r="2546" spans="1:5" customFormat="1" ht="24.95" customHeight="1" x14ac:dyDescent="0.25">
      <c r="A2546" s="241"/>
      <c r="B2546" s="243"/>
      <c r="C2546" s="241"/>
      <c r="D2546" s="241"/>
      <c r="E2546" s="241"/>
    </row>
    <row r="2547" spans="1:5" customFormat="1" ht="24.95" customHeight="1" x14ac:dyDescent="0.25">
      <c r="A2547" s="241"/>
      <c r="B2547" s="243"/>
      <c r="C2547" s="241"/>
      <c r="D2547" s="241"/>
      <c r="E2547" s="241"/>
    </row>
    <row r="2548" spans="1:5" customFormat="1" ht="24.95" customHeight="1" x14ac:dyDescent="0.25">
      <c r="A2548" s="241"/>
      <c r="B2548" s="243"/>
      <c r="C2548" s="241"/>
      <c r="D2548" s="241"/>
      <c r="E2548" s="241"/>
    </row>
    <row r="2549" spans="1:5" customFormat="1" ht="24.95" customHeight="1" x14ac:dyDescent="0.25">
      <c r="A2549" s="241"/>
      <c r="B2549" s="243"/>
      <c r="C2549" s="241"/>
      <c r="D2549" s="241"/>
      <c r="E2549" s="241"/>
    </row>
    <row r="2550" spans="1:5" customFormat="1" ht="24.95" customHeight="1" x14ac:dyDescent="0.25">
      <c r="A2550" s="241"/>
      <c r="B2550" s="243"/>
      <c r="C2550" s="241"/>
      <c r="D2550" s="241"/>
      <c r="E2550" s="241"/>
    </row>
    <row r="2551" spans="1:5" customFormat="1" ht="24.95" customHeight="1" x14ac:dyDescent="0.25">
      <c r="A2551" s="241"/>
      <c r="B2551" s="243"/>
      <c r="C2551" s="241"/>
      <c r="D2551" s="241"/>
      <c r="E2551" s="241"/>
    </row>
    <row r="2552" spans="1:5" customFormat="1" ht="24.95" customHeight="1" x14ac:dyDescent="0.25">
      <c r="A2552" s="241"/>
      <c r="B2552" s="243"/>
      <c r="C2552" s="241"/>
      <c r="D2552" s="241"/>
      <c r="E2552" s="241"/>
    </row>
    <row r="2553" spans="1:5" customFormat="1" ht="24.95" customHeight="1" x14ac:dyDescent="0.25">
      <c r="A2553" s="241"/>
      <c r="B2553" s="243"/>
      <c r="C2553" s="241"/>
      <c r="D2553" s="241"/>
      <c r="E2553" s="241"/>
    </row>
    <row r="2554" spans="1:5" customFormat="1" ht="24.95" customHeight="1" x14ac:dyDescent="0.25">
      <c r="A2554" s="241"/>
      <c r="B2554" s="243"/>
      <c r="C2554" s="241"/>
      <c r="D2554" s="241"/>
      <c r="E2554" s="241"/>
    </row>
    <row r="2555" spans="1:5" customFormat="1" ht="24.95" customHeight="1" x14ac:dyDescent="0.25">
      <c r="A2555" s="241"/>
      <c r="B2555" s="243"/>
      <c r="C2555" s="241"/>
      <c r="D2555" s="241"/>
      <c r="E2555" s="241"/>
    </row>
    <row r="2556" spans="1:5" customFormat="1" ht="24.95" customHeight="1" x14ac:dyDescent="0.25">
      <c r="A2556" s="241"/>
      <c r="B2556" s="243"/>
      <c r="C2556" s="241"/>
      <c r="D2556" s="241"/>
      <c r="E2556" s="241"/>
    </row>
    <row r="2557" spans="1:5" customFormat="1" ht="24.95" customHeight="1" x14ac:dyDescent="0.25">
      <c r="A2557" s="241"/>
      <c r="B2557" s="243"/>
      <c r="C2557" s="241"/>
      <c r="D2557" s="241"/>
      <c r="E2557" s="241"/>
    </row>
    <row r="2558" spans="1:5" customFormat="1" ht="24.95" customHeight="1" x14ac:dyDescent="0.25">
      <c r="A2558" s="241"/>
      <c r="B2558" s="243"/>
      <c r="C2558" s="241"/>
      <c r="D2558" s="241"/>
      <c r="E2558" s="241"/>
    </row>
    <row r="2559" spans="1:5" customFormat="1" ht="24.95" customHeight="1" x14ac:dyDescent="0.25">
      <c r="A2559" s="241"/>
      <c r="B2559" s="243"/>
      <c r="C2559" s="241"/>
      <c r="D2559" s="241"/>
      <c r="E2559" s="241"/>
    </row>
    <row r="2560" spans="1:5" customFormat="1" ht="24.95" customHeight="1" x14ac:dyDescent="0.25">
      <c r="A2560" s="241"/>
      <c r="B2560" s="243"/>
      <c r="C2560" s="241"/>
      <c r="D2560" s="241"/>
      <c r="E2560" s="241"/>
    </row>
    <row r="2561" spans="1:5" customFormat="1" ht="24.95" customHeight="1" x14ac:dyDescent="0.25">
      <c r="A2561" s="241"/>
      <c r="B2561" s="243"/>
      <c r="C2561" s="241"/>
      <c r="D2561" s="241"/>
      <c r="E2561" s="241"/>
    </row>
    <row r="2562" spans="1:5" customFormat="1" ht="24.95" customHeight="1" x14ac:dyDescent="0.25">
      <c r="A2562" s="241"/>
      <c r="B2562" s="243"/>
      <c r="C2562" s="241"/>
      <c r="D2562" s="241"/>
      <c r="E2562" s="241"/>
    </row>
    <row r="2563" spans="1:5" customFormat="1" ht="24.95" customHeight="1" x14ac:dyDescent="0.25">
      <c r="A2563" s="241"/>
      <c r="B2563" s="243"/>
      <c r="C2563" s="241"/>
      <c r="D2563" s="241"/>
      <c r="E2563" s="241"/>
    </row>
    <row r="2564" spans="1:5" customFormat="1" ht="24.95" customHeight="1" x14ac:dyDescent="0.25">
      <c r="A2564" s="241"/>
      <c r="B2564" s="243"/>
      <c r="C2564" s="241"/>
      <c r="D2564" s="241"/>
      <c r="E2564" s="241"/>
    </row>
    <row r="2565" spans="1:5" customFormat="1" ht="24.95" customHeight="1" x14ac:dyDescent="0.25">
      <c r="A2565" s="241"/>
      <c r="B2565" s="243"/>
      <c r="C2565" s="241"/>
      <c r="D2565" s="241"/>
      <c r="E2565" s="241"/>
    </row>
    <row r="2566" spans="1:5" customFormat="1" ht="24.95" customHeight="1" x14ac:dyDescent="0.25">
      <c r="A2566" s="241"/>
      <c r="B2566" s="243"/>
      <c r="C2566" s="241"/>
      <c r="D2566" s="241"/>
      <c r="E2566" s="241"/>
    </row>
    <row r="2567" spans="1:5" customFormat="1" ht="24.95" customHeight="1" x14ac:dyDescent="0.25">
      <c r="A2567" s="241"/>
      <c r="B2567" s="243"/>
      <c r="C2567" s="241"/>
      <c r="D2567" s="241"/>
      <c r="E2567" s="241"/>
    </row>
    <row r="2568" spans="1:5" customFormat="1" ht="24.95" customHeight="1" x14ac:dyDescent="0.25">
      <c r="A2568" s="241"/>
      <c r="B2568" s="243"/>
      <c r="C2568" s="241"/>
      <c r="D2568" s="241"/>
      <c r="E2568" s="241"/>
    </row>
    <row r="2569" spans="1:5" customFormat="1" ht="24.95" customHeight="1" x14ac:dyDescent="0.25">
      <c r="A2569" s="241"/>
      <c r="B2569" s="243"/>
      <c r="C2569" s="241"/>
      <c r="D2569" s="241"/>
      <c r="E2569" s="241"/>
    </row>
    <row r="2570" spans="1:5" customFormat="1" ht="24.95" customHeight="1" x14ac:dyDescent="0.25">
      <c r="A2570" s="241"/>
      <c r="B2570" s="243"/>
      <c r="C2570" s="241"/>
      <c r="D2570" s="241"/>
      <c r="E2570" s="241"/>
    </row>
    <row r="2571" spans="1:5" customFormat="1" ht="24.95" customHeight="1" x14ac:dyDescent="0.25">
      <c r="A2571" s="241"/>
      <c r="B2571" s="243"/>
      <c r="C2571" s="241"/>
      <c r="D2571" s="241"/>
      <c r="E2571" s="241"/>
    </row>
    <row r="2572" spans="1:5" customFormat="1" ht="24.95" customHeight="1" x14ac:dyDescent="0.25">
      <c r="A2572" s="241"/>
      <c r="B2572" s="243"/>
      <c r="C2572" s="241"/>
      <c r="D2572" s="241"/>
      <c r="E2572" s="241"/>
    </row>
    <row r="2573" spans="1:5" customFormat="1" ht="24.95" customHeight="1" x14ac:dyDescent="0.25">
      <c r="A2573" s="241"/>
      <c r="B2573" s="243"/>
      <c r="C2573" s="241"/>
      <c r="D2573" s="241"/>
      <c r="E2573" s="241"/>
    </row>
    <row r="2574" spans="1:5" customFormat="1" ht="24.95" customHeight="1" x14ac:dyDescent="0.25">
      <c r="A2574" s="241"/>
      <c r="B2574" s="243"/>
      <c r="C2574" s="241"/>
      <c r="D2574" s="241"/>
      <c r="E2574" s="241"/>
    </row>
    <row r="2575" spans="1:5" customFormat="1" ht="24.95" customHeight="1" x14ac:dyDescent="0.25">
      <c r="A2575" s="241"/>
      <c r="B2575" s="243"/>
      <c r="C2575" s="241"/>
      <c r="D2575" s="241"/>
      <c r="E2575" s="241"/>
    </row>
    <row r="2576" spans="1:5" customFormat="1" ht="24.95" customHeight="1" x14ac:dyDescent="0.25">
      <c r="A2576" s="241"/>
      <c r="B2576" s="243"/>
      <c r="C2576" s="241"/>
      <c r="D2576" s="241"/>
      <c r="E2576" s="241"/>
    </row>
    <row r="2577" spans="1:5" customFormat="1" ht="24.95" customHeight="1" x14ac:dyDescent="0.25">
      <c r="A2577" s="241"/>
      <c r="B2577" s="243"/>
      <c r="C2577" s="241"/>
      <c r="D2577" s="241"/>
      <c r="E2577" s="241"/>
    </row>
    <row r="2578" spans="1:5" customFormat="1" ht="24.95" customHeight="1" x14ac:dyDescent="0.25">
      <c r="A2578" s="241"/>
      <c r="B2578" s="243"/>
      <c r="C2578" s="241"/>
      <c r="D2578" s="241"/>
      <c r="E2578" s="241"/>
    </row>
    <row r="2579" spans="1:5" customFormat="1" ht="24.95" customHeight="1" x14ac:dyDescent="0.25">
      <c r="A2579" s="241"/>
      <c r="B2579" s="243"/>
      <c r="C2579" s="241"/>
      <c r="D2579" s="241"/>
      <c r="E2579" s="241"/>
    </row>
    <row r="2580" spans="1:5" customFormat="1" ht="24.95" customHeight="1" x14ac:dyDescent="0.25">
      <c r="A2580" s="241"/>
      <c r="B2580" s="243"/>
      <c r="C2580" s="241"/>
      <c r="D2580" s="241"/>
      <c r="E2580" s="241"/>
    </row>
    <row r="2581" spans="1:5" customFormat="1" ht="24.95" customHeight="1" x14ac:dyDescent="0.25">
      <c r="A2581" s="241"/>
      <c r="B2581" s="243"/>
      <c r="C2581" s="241"/>
      <c r="D2581" s="241"/>
      <c r="E2581" s="241"/>
    </row>
    <row r="2582" spans="1:5" customFormat="1" ht="24.95" customHeight="1" x14ac:dyDescent="0.25">
      <c r="A2582" s="241"/>
      <c r="B2582" s="243"/>
      <c r="C2582" s="241"/>
      <c r="D2582" s="241"/>
      <c r="E2582" s="241"/>
    </row>
    <row r="2583" spans="1:5" customFormat="1" ht="24.95" customHeight="1" x14ac:dyDescent="0.25">
      <c r="A2583" s="241"/>
      <c r="B2583" s="243"/>
      <c r="C2583" s="241"/>
      <c r="D2583" s="241"/>
      <c r="E2583" s="241"/>
    </row>
    <row r="2584" spans="1:5" customFormat="1" ht="24.95" customHeight="1" x14ac:dyDescent="0.25">
      <c r="A2584" s="241"/>
      <c r="B2584" s="243"/>
      <c r="C2584" s="241"/>
      <c r="D2584" s="241"/>
      <c r="E2584" s="241"/>
    </row>
    <row r="2585" spans="1:5" customFormat="1" ht="24.95" customHeight="1" x14ac:dyDescent="0.25">
      <c r="A2585" s="241"/>
      <c r="B2585" s="243"/>
      <c r="C2585" s="241"/>
      <c r="D2585" s="241"/>
      <c r="E2585" s="241"/>
    </row>
    <row r="2586" spans="1:5" customFormat="1" ht="24.95" customHeight="1" x14ac:dyDescent="0.25">
      <c r="A2586" s="241"/>
      <c r="B2586" s="243"/>
      <c r="C2586" s="241"/>
      <c r="D2586" s="241"/>
      <c r="E2586" s="241"/>
    </row>
    <row r="2587" spans="1:5" customFormat="1" ht="24.95" customHeight="1" x14ac:dyDescent="0.25">
      <c r="A2587" s="241"/>
      <c r="B2587" s="243"/>
      <c r="C2587" s="241"/>
      <c r="D2587" s="241"/>
      <c r="E2587" s="241"/>
    </row>
    <row r="2588" spans="1:5" customFormat="1" ht="24.95" customHeight="1" x14ac:dyDescent="0.25">
      <c r="A2588" s="241"/>
      <c r="B2588" s="243"/>
      <c r="C2588" s="241"/>
      <c r="D2588" s="241"/>
      <c r="E2588" s="241"/>
    </row>
    <row r="2589" spans="1:5" customFormat="1" ht="24.95" customHeight="1" x14ac:dyDescent="0.25">
      <c r="A2589" s="241"/>
      <c r="B2589" s="243"/>
      <c r="C2589" s="241"/>
      <c r="D2589" s="241"/>
      <c r="E2589" s="241"/>
    </row>
    <row r="2590" spans="1:5" customFormat="1" ht="24.95" customHeight="1" x14ac:dyDescent="0.25">
      <c r="A2590" s="241"/>
      <c r="B2590" s="243"/>
      <c r="C2590" s="241"/>
      <c r="D2590" s="241"/>
      <c r="E2590" s="241"/>
    </row>
    <row r="2591" spans="1:5" customFormat="1" ht="24.95" customHeight="1" x14ac:dyDescent="0.25">
      <c r="A2591" s="241"/>
      <c r="B2591" s="243"/>
      <c r="C2591" s="241"/>
      <c r="D2591" s="241"/>
      <c r="E2591" s="241"/>
    </row>
    <row r="2592" spans="1:5" customFormat="1" ht="24.95" customHeight="1" x14ac:dyDescent="0.25">
      <c r="A2592" s="241"/>
      <c r="B2592" s="243"/>
      <c r="C2592" s="241"/>
      <c r="D2592" s="241"/>
      <c r="E2592" s="241"/>
    </row>
    <row r="2593" spans="1:5" customFormat="1" ht="24.95" customHeight="1" x14ac:dyDescent="0.25">
      <c r="A2593" s="241"/>
      <c r="B2593" s="243"/>
      <c r="C2593" s="241"/>
      <c r="D2593" s="241"/>
      <c r="E2593" s="241"/>
    </row>
    <row r="2594" spans="1:5" customFormat="1" ht="24.95" customHeight="1" x14ac:dyDescent="0.25">
      <c r="A2594" s="241"/>
      <c r="B2594" s="243"/>
      <c r="C2594" s="241"/>
      <c r="D2594" s="241"/>
      <c r="E2594" s="241"/>
    </row>
    <row r="2595" spans="1:5" customFormat="1" ht="24.95" customHeight="1" x14ac:dyDescent="0.25">
      <c r="A2595" s="241"/>
      <c r="B2595" s="243"/>
      <c r="C2595" s="241"/>
      <c r="D2595" s="241"/>
      <c r="E2595" s="241"/>
    </row>
    <row r="2596" spans="1:5" customFormat="1" ht="24.95" customHeight="1" x14ac:dyDescent="0.25">
      <c r="A2596" s="241"/>
      <c r="B2596" s="243"/>
      <c r="C2596" s="241"/>
      <c r="D2596" s="241"/>
      <c r="E2596" s="241"/>
    </row>
    <row r="2597" spans="1:5" customFormat="1" ht="24.95" customHeight="1" x14ac:dyDescent="0.25">
      <c r="A2597" s="241"/>
      <c r="B2597" s="243"/>
      <c r="C2597" s="241"/>
      <c r="D2597" s="241"/>
      <c r="E2597" s="241"/>
    </row>
    <row r="2598" spans="1:5" customFormat="1" ht="24.95" customHeight="1" x14ac:dyDescent="0.25">
      <c r="A2598" s="241"/>
      <c r="B2598" s="243"/>
      <c r="C2598" s="241"/>
      <c r="D2598" s="241"/>
      <c r="E2598" s="241"/>
    </row>
    <row r="2599" spans="1:5" customFormat="1" ht="24.95" customHeight="1" x14ac:dyDescent="0.25">
      <c r="A2599" s="241"/>
      <c r="B2599" s="243"/>
      <c r="C2599" s="241"/>
      <c r="D2599" s="241"/>
      <c r="E2599" s="241"/>
    </row>
    <row r="2600" spans="1:5" customFormat="1" ht="24.95" customHeight="1" x14ac:dyDescent="0.25">
      <c r="A2600" s="241"/>
      <c r="B2600" s="243"/>
      <c r="C2600" s="241"/>
      <c r="D2600" s="241"/>
      <c r="E2600" s="241"/>
    </row>
    <row r="2601" spans="1:5" customFormat="1" ht="24.95" customHeight="1" x14ac:dyDescent="0.25">
      <c r="A2601" s="241"/>
      <c r="B2601" s="243"/>
      <c r="C2601" s="241"/>
      <c r="D2601" s="241"/>
      <c r="E2601" s="241"/>
    </row>
    <row r="2602" spans="1:5" customFormat="1" ht="24.95" customHeight="1" x14ac:dyDescent="0.25">
      <c r="A2602" s="241"/>
      <c r="B2602" s="243"/>
      <c r="C2602" s="241"/>
      <c r="D2602" s="241"/>
      <c r="E2602" s="241"/>
    </row>
    <row r="2603" spans="1:5" customFormat="1" ht="24.95" customHeight="1" x14ac:dyDescent="0.25">
      <c r="A2603" s="241"/>
      <c r="B2603" s="243"/>
      <c r="C2603" s="241"/>
      <c r="D2603" s="241"/>
      <c r="E2603" s="241"/>
    </row>
    <row r="2604" spans="1:5" customFormat="1" ht="24.95" customHeight="1" x14ac:dyDescent="0.25">
      <c r="A2604" s="241"/>
      <c r="B2604" s="243"/>
      <c r="C2604" s="241"/>
      <c r="D2604" s="241"/>
      <c r="E2604" s="241"/>
    </row>
    <row r="2605" spans="1:5" customFormat="1" ht="24.95" customHeight="1" x14ac:dyDescent="0.25">
      <c r="A2605" s="241"/>
      <c r="B2605" s="243"/>
      <c r="C2605" s="241"/>
      <c r="D2605" s="241"/>
      <c r="E2605" s="241"/>
    </row>
    <row r="2606" spans="1:5" customFormat="1" ht="24.95" customHeight="1" x14ac:dyDescent="0.25">
      <c r="A2606" s="241"/>
      <c r="B2606" s="243"/>
      <c r="C2606" s="241"/>
      <c r="D2606" s="241"/>
      <c r="E2606" s="241"/>
    </row>
    <row r="2607" spans="1:5" customFormat="1" ht="24.95" customHeight="1" x14ac:dyDescent="0.25">
      <c r="A2607" s="241"/>
      <c r="B2607" s="243"/>
      <c r="C2607" s="241"/>
      <c r="D2607" s="241"/>
      <c r="E2607" s="241"/>
    </row>
    <row r="2608" spans="1:5" customFormat="1" ht="24.95" customHeight="1" x14ac:dyDescent="0.25">
      <c r="A2608" s="241"/>
      <c r="B2608" s="243"/>
      <c r="C2608" s="241"/>
      <c r="D2608" s="241"/>
      <c r="E2608" s="241"/>
    </row>
    <row r="2609" spans="1:5" customFormat="1" ht="24.95" customHeight="1" x14ac:dyDescent="0.25">
      <c r="A2609" s="241"/>
      <c r="B2609" s="243"/>
      <c r="C2609" s="241"/>
      <c r="D2609" s="241"/>
      <c r="E2609" s="241"/>
    </row>
    <row r="2610" spans="1:5" customFormat="1" ht="24.95" customHeight="1" x14ac:dyDescent="0.25">
      <c r="A2610" s="241"/>
      <c r="B2610" s="243"/>
      <c r="C2610" s="241"/>
      <c r="D2610" s="241"/>
      <c r="E2610" s="241"/>
    </row>
    <row r="2611" spans="1:5" customFormat="1" ht="24.95" customHeight="1" x14ac:dyDescent="0.25">
      <c r="A2611" s="241"/>
      <c r="B2611" s="243"/>
      <c r="C2611" s="241"/>
      <c r="D2611" s="241"/>
      <c r="E2611" s="241"/>
    </row>
    <row r="2612" spans="1:5" customFormat="1" ht="24.95" customHeight="1" x14ac:dyDescent="0.25">
      <c r="A2612" s="241"/>
      <c r="B2612" s="243"/>
      <c r="C2612" s="241"/>
      <c r="D2612" s="241"/>
      <c r="E2612" s="241"/>
    </row>
    <row r="2613" spans="1:5" customFormat="1" ht="24.95" customHeight="1" x14ac:dyDescent="0.25">
      <c r="A2613" s="241"/>
      <c r="B2613" s="243"/>
      <c r="C2613" s="241"/>
      <c r="D2613" s="241"/>
      <c r="E2613" s="241"/>
    </row>
    <row r="2614" spans="1:5" customFormat="1" ht="24.95" customHeight="1" x14ac:dyDescent="0.25">
      <c r="A2614" s="241"/>
      <c r="B2614" s="243"/>
      <c r="C2614" s="241"/>
      <c r="D2614" s="241"/>
      <c r="E2614" s="241"/>
    </row>
    <row r="2615" spans="1:5" customFormat="1" ht="24.95" customHeight="1" x14ac:dyDescent="0.25">
      <c r="A2615" s="241"/>
      <c r="B2615" s="243"/>
      <c r="C2615" s="241"/>
      <c r="D2615" s="241"/>
      <c r="E2615" s="241"/>
    </row>
    <row r="2616" spans="1:5" customFormat="1" ht="24.95" customHeight="1" x14ac:dyDescent="0.25">
      <c r="A2616" s="241"/>
      <c r="B2616" s="243"/>
      <c r="C2616" s="241"/>
      <c r="D2616" s="241"/>
      <c r="E2616" s="241"/>
    </row>
    <row r="2617" spans="1:5" customFormat="1" ht="24.95" customHeight="1" x14ac:dyDescent="0.25">
      <c r="A2617" s="241"/>
      <c r="B2617" s="243"/>
      <c r="C2617" s="241"/>
      <c r="D2617" s="241"/>
      <c r="E2617" s="241"/>
    </row>
    <row r="2618" spans="1:5" customFormat="1" ht="24.95" customHeight="1" x14ac:dyDescent="0.25">
      <c r="A2618" s="241"/>
      <c r="B2618" s="243"/>
      <c r="C2618" s="241"/>
      <c r="D2618" s="241"/>
      <c r="E2618" s="241"/>
    </row>
    <row r="2619" spans="1:5" customFormat="1" ht="24.95" customHeight="1" x14ac:dyDescent="0.25">
      <c r="A2619" s="241"/>
      <c r="B2619" s="243"/>
      <c r="C2619" s="241"/>
      <c r="D2619" s="241"/>
      <c r="E2619" s="241"/>
    </row>
    <row r="2620" spans="1:5" customFormat="1" ht="24.95" customHeight="1" x14ac:dyDescent="0.25">
      <c r="A2620" s="241"/>
      <c r="B2620" s="243"/>
      <c r="C2620" s="241"/>
      <c r="D2620" s="241"/>
      <c r="E2620" s="241"/>
    </row>
    <row r="2621" spans="1:5" customFormat="1" ht="24.95" customHeight="1" x14ac:dyDescent="0.25">
      <c r="A2621" s="241"/>
      <c r="B2621" s="243"/>
      <c r="C2621" s="241"/>
      <c r="D2621" s="241"/>
      <c r="E2621" s="241"/>
    </row>
    <row r="2622" spans="1:5" customFormat="1" ht="24.95" customHeight="1" x14ac:dyDescent="0.25">
      <c r="A2622" s="241"/>
      <c r="B2622" s="243"/>
      <c r="C2622" s="241"/>
      <c r="D2622" s="241"/>
      <c r="E2622" s="241"/>
    </row>
    <row r="2623" spans="1:5" customFormat="1" ht="24.95" customHeight="1" x14ac:dyDescent="0.25">
      <c r="A2623" s="241"/>
      <c r="B2623" s="243"/>
      <c r="C2623" s="241"/>
      <c r="D2623" s="241"/>
      <c r="E2623" s="241"/>
    </row>
    <row r="2624" spans="1:5" customFormat="1" ht="24.95" customHeight="1" x14ac:dyDescent="0.25">
      <c r="A2624" s="241"/>
      <c r="B2624" s="243"/>
      <c r="C2624" s="241"/>
      <c r="D2624" s="241"/>
      <c r="E2624" s="241"/>
    </row>
    <row r="2625" spans="1:5" customFormat="1" ht="24.95" customHeight="1" x14ac:dyDescent="0.25">
      <c r="A2625" s="241"/>
      <c r="B2625" s="243"/>
      <c r="C2625" s="241"/>
      <c r="D2625" s="241"/>
      <c r="E2625" s="241"/>
    </row>
    <row r="2626" spans="1:5" customFormat="1" ht="24.95" customHeight="1" x14ac:dyDescent="0.25">
      <c r="A2626" s="241"/>
      <c r="B2626" s="243"/>
      <c r="C2626" s="241"/>
      <c r="D2626" s="241"/>
      <c r="E2626" s="241"/>
    </row>
    <row r="2627" spans="1:5" customFormat="1" ht="24.95" customHeight="1" x14ac:dyDescent="0.25">
      <c r="A2627" s="241"/>
      <c r="B2627" s="243"/>
      <c r="C2627" s="241"/>
      <c r="D2627" s="241"/>
      <c r="E2627" s="241"/>
    </row>
    <row r="2628" spans="1:5" customFormat="1" ht="24.95" customHeight="1" x14ac:dyDescent="0.25">
      <c r="A2628" s="241"/>
      <c r="B2628" s="243"/>
      <c r="C2628" s="241"/>
      <c r="D2628" s="241"/>
      <c r="E2628" s="241"/>
    </row>
    <row r="2629" spans="1:5" customFormat="1" ht="24.95" customHeight="1" x14ac:dyDescent="0.25">
      <c r="A2629" s="241"/>
      <c r="B2629" s="243"/>
      <c r="C2629" s="241"/>
      <c r="D2629" s="241"/>
      <c r="E2629" s="241"/>
    </row>
    <row r="2630" spans="1:5" customFormat="1" ht="24.95" customHeight="1" x14ac:dyDescent="0.25">
      <c r="A2630" s="241"/>
      <c r="B2630" s="243"/>
      <c r="C2630" s="241"/>
      <c r="D2630" s="241"/>
      <c r="E2630" s="241"/>
    </row>
    <row r="2631" spans="1:5" customFormat="1" ht="24.95" customHeight="1" x14ac:dyDescent="0.25">
      <c r="A2631" s="241"/>
      <c r="B2631" s="243"/>
      <c r="C2631" s="241"/>
      <c r="D2631" s="241"/>
      <c r="E2631" s="241"/>
    </row>
    <row r="2632" spans="1:5" customFormat="1" ht="24.95" customHeight="1" x14ac:dyDescent="0.25">
      <c r="A2632" s="241"/>
      <c r="B2632" s="243"/>
      <c r="C2632" s="241"/>
      <c r="D2632" s="241"/>
      <c r="E2632" s="241"/>
    </row>
    <row r="2633" spans="1:5" customFormat="1" ht="24.95" customHeight="1" x14ac:dyDescent="0.25">
      <c r="A2633" s="241"/>
      <c r="B2633" s="243"/>
      <c r="C2633" s="241"/>
      <c r="D2633" s="241"/>
      <c r="E2633" s="241"/>
    </row>
    <row r="2634" spans="1:5" customFormat="1" ht="24.95" customHeight="1" x14ac:dyDescent="0.25">
      <c r="A2634" s="241"/>
      <c r="B2634" s="243"/>
      <c r="C2634" s="241"/>
      <c r="D2634" s="241"/>
      <c r="E2634" s="241"/>
    </row>
    <row r="2635" spans="1:5" customFormat="1" ht="24.95" customHeight="1" x14ac:dyDescent="0.25">
      <c r="A2635" s="241"/>
      <c r="B2635" s="243"/>
      <c r="C2635" s="241"/>
      <c r="D2635" s="241"/>
      <c r="E2635" s="241"/>
    </row>
    <row r="2636" spans="1:5" customFormat="1" ht="24.95" customHeight="1" x14ac:dyDescent="0.25">
      <c r="A2636" s="241"/>
      <c r="B2636" s="243"/>
      <c r="C2636" s="241"/>
      <c r="D2636" s="241"/>
      <c r="E2636" s="241"/>
    </row>
    <row r="2637" spans="1:5" customFormat="1" ht="24.95" customHeight="1" x14ac:dyDescent="0.25">
      <c r="A2637" s="241"/>
      <c r="B2637" s="243"/>
      <c r="C2637" s="241"/>
      <c r="D2637" s="241"/>
      <c r="E2637" s="241"/>
    </row>
    <row r="2638" spans="1:5" customFormat="1" ht="24.95" customHeight="1" x14ac:dyDescent="0.25">
      <c r="A2638" s="241"/>
      <c r="B2638" s="243"/>
      <c r="C2638" s="241"/>
      <c r="D2638" s="241"/>
      <c r="E2638" s="241"/>
    </row>
    <row r="2639" spans="1:5" customFormat="1" ht="24.95" customHeight="1" x14ac:dyDescent="0.25">
      <c r="A2639" s="241"/>
      <c r="B2639" s="243"/>
      <c r="C2639" s="241"/>
      <c r="D2639" s="241"/>
      <c r="E2639" s="241"/>
    </row>
    <row r="2640" spans="1:5" customFormat="1" ht="24.95" customHeight="1" x14ac:dyDescent="0.25">
      <c r="A2640" s="241"/>
      <c r="B2640" s="243"/>
      <c r="C2640" s="241"/>
      <c r="D2640" s="241"/>
      <c r="E2640" s="241"/>
    </row>
    <row r="2641" spans="1:5" customFormat="1" ht="24.95" customHeight="1" x14ac:dyDescent="0.25">
      <c r="A2641" s="241"/>
      <c r="B2641" s="243"/>
      <c r="C2641" s="241"/>
      <c r="D2641" s="241"/>
      <c r="E2641" s="241"/>
    </row>
    <row r="2642" spans="1:5" customFormat="1" ht="24.95" customHeight="1" x14ac:dyDescent="0.25">
      <c r="A2642" s="241"/>
      <c r="B2642" s="243"/>
      <c r="C2642" s="241"/>
      <c r="D2642" s="241"/>
      <c r="E2642" s="241"/>
    </row>
    <row r="2643" spans="1:5" customFormat="1" ht="24.95" customHeight="1" x14ac:dyDescent="0.25">
      <c r="A2643" s="241"/>
      <c r="B2643" s="243"/>
      <c r="C2643" s="241"/>
      <c r="D2643" s="241"/>
      <c r="E2643" s="241"/>
    </row>
    <row r="2644" spans="1:5" customFormat="1" ht="24.95" customHeight="1" x14ac:dyDescent="0.25">
      <c r="A2644" s="241"/>
      <c r="B2644" s="243"/>
      <c r="C2644" s="241"/>
      <c r="D2644" s="241"/>
      <c r="E2644" s="241"/>
    </row>
    <row r="2645" spans="1:5" customFormat="1" ht="24.95" customHeight="1" x14ac:dyDescent="0.25">
      <c r="A2645" s="241"/>
      <c r="B2645" s="243"/>
      <c r="C2645" s="241"/>
      <c r="D2645" s="241"/>
      <c r="E2645" s="241"/>
    </row>
    <row r="2646" spans="1:5" customFormat="1" ht="24.95" customHeight="1" x14ac:dyDescent="0.25">
      <c r="A2646" s="241"/>
      <c r="B2646" s="243"/>
      <c r="C2646" s="241"/>
      <c r="D2646" s="241"/>
      <c r="E2646" s="241"/>
    </row>
    <row r="2647" spans="1:5" customFormat="1" ht="24.95" customHeight="1" x14ac:dyDescent="0.25">
      <c r="A2647" s="241"/>
      <c r="B2647" s="243"/>
      <c r="C2647" s="241"/>
      <c r="D2647" s="241"/>
      <c r="E2647" s="241"/>
    </row>
    <row r="2648" spans="1:5" customFormat="1" ht="24.95" customHeight="1" x14ac:dyDescent="0.25">
      <c r="A2648" s="241"/>
      <c r="B2648" s="243"/>
      <c r="C2648" s="241"/>
      <c r="D2648" s="241"/>
      <c r="E2648" s="241"/>
    </row>
    <row r="2649" spans="1:5" customFormat="1" ht="24.95" customHeight="1" x14ac:dyDescent="0.25">
      <c r="A2649" s="241"/>
      <c r="B2649" s="243"/>
      <c r="C2649" s="241"/>
      <c r="D2649" s="241"/>
      <c r="E2649" s="241"/>
    </row>
    <row r="2650" spans="1:5" customFormat="1" ht="24.95" customHeight="1" x14ac:dyDescent="0.25">
      <c r="A2650" s="241"/>
      <c r="B2650" s="243"/>
      <c r="C2650" s="241"/>
      <c r="D2650" s="241"/>
      <c r="E2650" s="241"/>
    </row>
    <row r="2651" spans="1:5" customFormat="1" ht="24.95" customHeight="1" x14ac:dyDescent="0.25">
      <c r="A2651" s="241"/>
      <c r="B2651" s="243"/>
      <c r="C2651" s="241"/>
      <c r="D2651" s="241"/>
      <c r="E2651" s="241"/>
    </row>
    <row r="2652" spans="1:5" customFormat="1" ht="24.95" customHeight="1" x14ac:dyDescent="0.25">
      <c r="A2652" s="241"/>
      <c r="B2652" s="243"/>
      <c r="C2652" s="241"/>
      <c r="D2652" s="241"/>
      <c r="E2652" s="241"/>
    </row>
    <row r="2653" spans="1:5" customFormat="1" ht="24.95" customHeight="1" x14ac:dyDescent="0.25">
      <c r="A2653" s="241"/>
      <c r="B2653" s="243"/>
      <c r="C2653" s="241"/>
      <c r="D2653" s="241"/>
      <c r="E2653" s="241"/>
    </row>
    <row r="2654" spans="1:5" customFormat="1" ht="24.95" customHeight="1" x14ac:dyDescent="0.25">
      <c r="A2654" s="241"/>
      <c r="B2654" s="243"/>
      <c r="C2654" s="241"/>
      <c r="D2654" s="241"/>
      <c r="E2654" s="241"/>
    </row>
    <row r="2655" spans="1:5" customFormat="1" ht="24.95" customHeight="1" x14ac:dyDescent="0.25">
      <c r="A2655" s="241"/>
      <c r="B2655" s="243"/>
      <c r="C2655" s="241"/>
      <c r="D2655" s="241"/>
      <c r="E2655" s="241"/>
    </row>
    <row r="2656" spans="1:5" customFormat="1" ht="24.95" customHeight="1" x14ac:dyDescent="0.25">
      <c r="A2656" s="241"/>
      <c r="B2656" s="243"/>
      <c r="C2656" s="241"/>
      <c r="D2656" s="241"/>
      <c r="E2656" s="241"/>
    </row>
    <row r="2657" spans="1:5" customFormat="1" ht="24.95" customHeight="1" x14ac:dyDescent="0.25">
      <c r="A2657" s="241"/>
      <c r="B2657" s="243"/>
      <c r="C2657" s="241"/>
      <c r="D2657" s="241"/>
      <c r="E2657" s="241"/>
    </row>
    <row r="2658" spans="1:5" customFormat="1" ht="24.95" customHeight="1" x14ac:dyDescent="0.25">
      <c r="A2658" s="241"/>
      <c r="B2658" s="243"/>
      <c r="C2658" s="241"/>
      <c r="D2658" s="241"/>
      <c r="E2658" s="241"/>
    </row>
    <row r="2659" spans="1:5" customFormat="1" ht="24.95" customHeight="1" x14ac:dyDescent="0.25">
      <c r="A2659" s="241"/>
      <c r="B2659" s="243"/>
      <c r="C2659" s="241"/>
      <c r="D2659" s="241"/>
      <c r="E2659" s="241"/>
    </row>
    <row r="2660" spans="1:5" customFormat="1" ht="24.95" customHeight="1" x14ac:dyDescent="0.25">
      <c r="A2660" s="241"/>
      <c r="B2660" s="243"/>
      <c r="C2660" s="241"/>
      <c r="D2660" s="241"/>
      <c r="E2660" s="241"/>
    </row>
    <row r="2661" spans="1:5" customFormat="1" ht="24.95" customHeight="1" x14ac:dyDescent="0.25">
      <c r="A2661" s="241"/>
      <c r="B2661" s="243"/>
      <c r="C2661" s="241"/>
      <c r="D2661" s="241"/>
      <c r="E2661" s="241"/>
    </row>
    <row r="2662" spans="1:5" customFormat="1" ht="24.95" customHeight="1" x14ac:dyDescent="0.25">
      <c r="A2662" s="241"/>
      <c r="B2662" s="243"/>
      <c r="C2662" s="241"/>
      <c r="D2662" s="241"/>
      <c r="E2662" s="241"/>
    </row>
    <row r="2663" spans="1:5" customFormat="1" ht="24.95" customHeight="1" x14ac:dyDescent="0.25">
      <c r="A2663" s="241"/>
      <c r="B2663" s="243"/>
      <c r="C2663" s="241"/>
      <c r="D2663" s="241"/>
      <c r="E2663" s="241"/>
    </row>
    <row r="2664" spans="1:5" customFormat="1" ht="24.95" customHeight="1" x14ac:dyDescent="0.25">
      <c r="A2664" s="241"/>
      <c r="B2664" s="243"/>
      <c r="C2664" s="241"/>
      <c r="D2664" s="241"/>
      <c r="E2664" s="241"/>
    </row>
    <row r="2665" spans="1:5" customFormat="1" ht="24.95" customHeight="1" x14ac:dyDescent="0.25">
      <c r="A2665" s="241"/>
      <c r="B2665" s="243"/>
      <c r="C2665" s="241"/>
      <c r="D2665" s="241"/>
      <c r="E2665" s="241"/>
    </row>
    <row r="2666" spans="1:5" customFormat="1" ht="24.95" customHeight="1" x14ac:dyDescent="0.25">
      <c r="A2666" s="241"/>
      <c r="B2666" s="243"/>
      <c r="C2666" s="241"/>
      <c r="D2666" s="241"/>
      <c r="E2666" s="241"/>
    </row>
    <row r="2667" spans="1:5" customFormat="1" ht="24.95" customHeight="1" x14ac:dyDescent="0.25">
      <c r="A2667" s="241"/>
      <c r="B2667" s="243"/>
      <c r="C2667" s="241"/>
      <c r="D2667" s="241"/>
      <c r="E2667" s="241"/>
    </row>
    <row r="2668" spans="1:5" customFormat="1" ht="24.95" customHeight="1" x14ac:dyDescent="0.25">
      <c r="A2668" s="241"/>
      <c r="B2668" s="243"/>
      <c r="C2668" s="241"/>
      <c r="D2668" s="241"/>
      <c r="E2668" s="241"/>
    </row>
    <row r="2669" spans="1:5" customFormat="1" ht="24.95" customHeight="1" x14ac:dyDescent="0.25">
      <c r="A2669" s="241"/>
      <c r="B2669" s="243"/>
      <c r="C2669" s="241"/>
      <c r="D2669" s="241"/>
      <c r="E2669" s="241"/>
    </row>
    <row r="2670" spans="1:5" customFormat="1" ht="24.95" customHeight="1" x14ac:dyDescent="0.25">
      <c r="A2670" s="241"/>
      <c r="B2670" s="243"/>
      <c r="C2670" s="241"/>
      <c r="D2670" s="241"/>
      <c r="E2670" s="241"/>
    </row>
    <row r="2671" spans="1:5" customFormat="1" ht="24.95" customHeight="1" x14ac:dyDescent="0.25">
      <c r="A2671" s="241"/>
      <c r="B2671" s="243"/>
      <c r="C2671" s="241"/>
      <c r="D2671" s="241"/>
      <c r="E2671" s="241"/>
    </row>
    <row r="2672" spans="1:5" customFormat="1" ht="24.95" customHeight="1" x14ac:dyDescent="0.25">
      <c r="A2672" s="241"/>
      <c r="B2672" s="243"/>
      <c r="C2672" s="241"/>
      <c r="D2672" s="241"/>
      <c r="E2672" s="241"/>
    </row>
    <row r="2673" spans="1:5" customFormat="1" ht="24.95" customHeight="1" x14ac:dyDescent="0.25">
      <c r="A2673" s="241"/>
      <c r="B2673" s="243"/>
      <c r="C2673" s="241"/>
      <c r="D2673" s="241"/>
      <c r="E2673" s="241"/>
    </row>
    <row r="2674" spans="1:5" customFormat="1" ht="24.95" customHeight="1" x14ac:dyDescent="0.25">
      <c r="A2674" s="241"/>
      <c r="B2674" s="243"/>
      <c r="C2674" s="241"/>
      <c r="D2674" s="241"/>
      <c r="E2674" s="241"/>
    </row>
    <row r="2675" spans="1:5" customFormat="1" ht="24.95" customHeight="1" x14ac:dyDescent="0.25">
      <c r="A2675" s="241"/>
      <c r="B2675" s="243"/>
      <c r="C2675" s="241"/>
      <c r="D2675" s="241"/>
      <c r="E2675" s="241"/>
    </row>
    <row r="2676" spans="1:5" customFormat="1" ht="24.95" customHeight="1" x14ac:dyDescent="0.25">
      <c r="A2676" s="241"/>
      <c r="B2676" s="243"/>
      <c r="C2676" s="241"/>
      <c r="D2676" s="241"/>
      <c r="E2676" s="241"/>
    </row>
    <row r="2677" spans="1:5" customFormat="1" ht="24.95" customHeight="1" x14ac:dyDescent="0.25">
      <c r="A2677" s="241"/>
      <c r="B2677" s="243"/>
      <c r="C2677" s="241"/>
      <c r="D2677" s="241"/>
      <c r="E2677" s="241"/>
    </row>
    <row r="2678" spans="1:5" customFormat="1" ht="24.95" customHeight="1" x14ac:dyDescent="0.25">
      <c r="A2678" s="241"/>
      <c r="B2678" s="243"/>
      <c r="C2678" s="241"/>
      <c r="D2678" s="241"/>
      <c r="E2678" s="241"/>
    </row>
    <row r="2679" spans="1:5" customFormat="1" ht="24.95" customHeight="1" x14ac:dyDescent="0.25">
      <c r="A2679" s="241"/>
      <c r="B2679" s="243"/>
      <c r="C2679" s="241"/>
      <c r="D2679" s="241"/>
      <c r="E2679" s="241"/>
    </row>
    <row r="2680" spans="1:5" customFormat="1" ht="24.95" customHeight="1" x14ac:dyDescent="0.25">
      <c r="A2680" s="241"/>
      <c r="B2680" s="243"/>
      <c r="C2680" s="241"/>
      <c r="D2680" s="241"/>
      <c r="E2680" s="241"/>
    </row>
    <row r="2681" spans="1:5" customFormat="1" ht="24.95" customHeight="1" x14ac:dyDescent="0.25">
      <c r="A2681" s="241"/>
      <c r="B2681" s="243"/>
      <c r="C2681" s="241"/>
      <c r="D2681" s="241"/>
      <c r="E2681" s="241"/>
    </row>
    <row r="2682" spans="1:5" customFormat="1" ht="24.95" customHeight="1" x14ac:dyDescent="0.25">
      <c r="A2682" s="241"/>
      <c r="B2682" s="243"/>
      <c r="C2682" s="241"/>
      <c r="D2682" s="241"/>
      <c r="E2682" s="241"/>
    </row>
    <row r="2683" spans="1:5" customFormat="1" ht="24.95" customHeight="1" x14ac:dyDescent="0.25">
      <c r="A2683" s="241"/>
      <c r="B2683" s="243"/>
      <c r="C2683" s="241"/>
      <c r="D2683" s="241"/>
      <c r="E2683" s="241"/>
    </row>
    <row r="2684" spans="1:5" customFormat="1" ht="24.95" customHeight="1" x14ac:dyDescent="0.25">
      <c r="A2684" s="241"/>
      <c r="B2684" s="243"/>
      <c r="C2684" s="241"/>
      <c r="D2684" s="241"/>
      <c r="E2684" s="241"/>
    </row>
    <row r="2685" spans="1:5" customFormat="1" ht="24.95" customHeight="1" x14ac:dyDescent="0.25">
      <c r="A2685" s="241"/>
      <c r="B2685" s="243"/>
      <c r="C2685" s="241"/>
      <c r="D2685" s="241"/>
      <c r="E2685" s="241"/>
    </row>
    <row r="2686" spans="1:5" customFormat="1" ht="24.95" customHeight="1" x14ac:dyDescent="0.25">
      <c r="A2686" s="241"/>
      <c r="B2686" s="243"/>
      <c r="C2686" s="241"/>
      <c r="D2686" s="241"/>
      <c r="E2686" s="241"/>
    </row>
    <row r="2687" spans="1:5" customFormat="1" ht="24.95" customHeight="1" x14ac:dyDescent="0.25">
      <c r="A2687" s="241"/>
      <c r="B2687" s="243"/>
      <c r="C2687" s="241"/>
      <c r="D2687" s="241"/>
      <c r="E2687" s="241"/>
    </row>
    <row r="2688" spans="1:5" customFormat="1" ht="24.95" customHeight="1" x14ac:dyDescent="0.25">
      <c r="A2688" s="241"/>
      <c r="B2688" s="243"/>
      <c r="C2688" s="241"/>
      <c r="D2688" s="241"/>
      <c r="E2688" s="241"/>
    </row>
    <row r="2689" spans="1:5" customFormat="1" ht="24.95" customHeight="1" x14ac:dyDescent="0.25">
      <c r="A2689" s="241"/>
      <c r="B2689" s="243"/>
      <c r="C2689" s="241"/>
      <c r="D2689" s="241"/>
      <c r="E2689" s="241"/>
    </row>
    <row r="2690" spans="1:5" customFormat="1" ht="24.95" customHeight="1" x14ac:dyDescent="0.25">
      <c r="A2690" s="241"/>
      <c r="B2690" s="243"/>
      <c r="C2690" s="241"/>
      <c r="D2690" s="241"/>
      <c r="E2690" s="241"/>
    </row>
    <row r="2691" spans="1:5" customFormat="1" ht="24.95" customHeight="1" x14ac:dyDescent="0.25">
      <c r="A2691" s="241"/>
      <c r="B2691" s="243"/>
      <c r="C2691" s="241"/>
      <c r="D2691" s="241"/>
      <c r="E2691" s="241"/>
    </row>
    <row r="2692" spans="1:5" customFormat="1" ht="24.95" customHeight="1" x14ac:dyDescent="0.25">
      <c r="A2692" s="241"/>
      <c r="B2692" s="243"/>
      <c r="C2692" s="241"/>
      <c r="D2692" s="241"/>
      <c r="E2692" s="241"/>
    </row>
    <row r="2693" spans="1:5" customFormat="1" ht="24.95" customHeight="1" x14ac:dyDescent="0.25">
      <c r="A2693" s="241"/>
      <c r="B2693" s="243"/>
      <c r="C2693" s="241"/>
      <c r="D2693" s="241"/>
      <c r="E2693" s="241"/>
    </row>
    <row r="2694" spans="1:5" customFormat="1" ht="24.95" customHeight="1" x14ac:dyDescent="0.25">
      <c r="A2694" s="241"/>
      <c r="B2694" s="243"/>
      <c r="C2694" s="241"/>
      <c r="D2694" s="241"/>
      <c r="E2694" s="241"/>
    </row>
    <row r="2695" spans="1:5" customFormat="1" ht="24.95" customHeight="1" x14ac:dyDescent="0.25">
      <c r="A2695" s="241"/>
      <c r="B2695" s="243"/>
      <c r="C2695" s="241"/>
      <c r="D2695" s="241"/>
      <c r="E2695" s="241"/>
    </row>
    <row r="2696" spans="1:5" customFormat="1" ht="24.95" customHeight="1" x14ac:dyDescent="0.25">
      <c r="A2696" s="241"/>
      <c r="B2696" s="243"/>
      <c r="C2696" s="241"/>
      <c r="D2696" s="241"/>
      <c r="E2696" s="241"/>
    </row>
    <row r="2697" spans="1:5" customFormat="1" ht="24.95" customHeight="1" x14ac:dyDescent="0.25">
      <c r="A2697" s="241"/>
      <c r="B2697" s="243"/>
      <c r="C2697" s="241"/>
      <c r="D2697" s="241"/>
      <c r="E2697" s="241"/>
    </row>
    <row r="2698" spans="1:5" customFormat="1" ht="24.95" customHeight="1" x14ac:dyDescent="0.25">
      <c r="A2698" s="241"/>
      <c r="B2698" s="243"/>
      <c r="C2698" s="241"/>
      <c r="D2698" s="241"/>
      <c r="E2698" s="241"/>
    </row>
    <row r="2699" spans="1:5" customFormat="1" ht="24.95" customHeight="1" x14ac:dyDescent="0.25">
      <c r="A2699" s="241"/>
      <c r="B2699" s="243"/>
      <c r="C2699" s="241"/>
      <c r="D2699" s="241"/>
      <c r="E2699" s="241"/>
    </row>
    <row r="2700" spans="1:5" customFormat="1" ht="24.95" customHeight="1" x14ac:dyDescent="0.25">
      <c r="A2700" s="241"/>
      <c r="B2700" s="243"/>
      <c r="C2700" s="241"/>
      <c r="D2700" s="241"/>
      <c r="E2700" s="241"/>
    </row>
    <row r="2701" spans="1:5" customFormat="1" ht="24.95" customHeight="1" x14ac:dyDescent="0.25">
      <c r="A2701" s="241"/>
      <c r="B2701" s="243"/>
      <c r="C2701" s="241"/>
      <c r="D2701" s="241"/>
      <c r="E2701" s="241"/>
    </row>
    <row r="2702" spans="1:5" customFormat="1" ht="24.95" customHeight="1" x14ac:dyDescent="0.25">
      <c r="A2702" s="241"/>
      <c r="B2702" s="243"/>
      <c r="C2702" s="241"/>
      <c r="D2702" s="241"/>
      <c r="E2702" s="241"/>
    </row>
    <row r="2703" spans="1:5" customFormat="1" ht="24.95" customHeight="1" x14ac:dyDescent="0.25">
      <c r="A2703" s="241"/>
      <c r="B2703" s="243"/>
      <c r="C2703" s="241"/>
      <c r="D2703" s="241"/>
      <c r="E2703" s="241"/>
    </row>
    <row r="2704" spans="1:5" customFormat="1" ht="24.95" customHeight="1" x14ac:dyDescent="0.25">
      <c r="A2704" s="241"/>
      <c r="B2704" s="243"/>
      <c r="C2704" s="241"/>
      <c r="D2704" s="241"/>
      <c r="E2704" s="241"/>
    </row>
    <row r="2705" spans="1:5" customFormat="1" ht="24.95" customHeight="1" x14ac:dyDescent="0.25">
      <c r="A2705" s="241"/>
      <c r="B2705" s="243"/>
      <c r="C2705" s="241"/>
      <c r="D2705" s="241"/>
      <c r="E2705" s="241"/>
    </row>
    <row r="2706" spans="1:5" customFormat="1" ht="24.95" customHeight="1" x14ac:dyDescent="0.25">
      <c r="A2706" s="241"/>
      <c r="B2706" s="243"/>
      <c r="C2706" s="241"/>
      <c r="D2706" s="241"/>
      <c r="E2706" s="241"/>
    </row>
    <row r="2707" spans="1:5" customFormat="1" ht="24.95" customHeight="1" x14ac:dyDescent="0.25">
      <c r="A2707" s="241"/>
      <c r="B2707" s="243"/>
      <c r="C2707" s="241"/>
      <c r="D2707" s="241"/>
      <c r="E2707" s="241"/>
    </row>
    <row r="2708" spans="1:5" customFormat="1" ht="24.95" customHeight="1" x14ac:dyDescent="0.25">
      <c r="A2708" s="241"/>
      <c r="B2708" s="243"/>
      <c r="C2708" s="241"/>
      <c r="D2708" s="241"/>
      <c r="E2708" s="241"/>
    </row>
    <row r="2709" spans="1:5" customFormat="1" ht="24.95" customHeight="1" x14ac:dyDescent="0.25">
      <c r="A2709" s="241"/>
      <c r="B2709" s="243"/>
      <c r="C2709" s="241"/>
      <c r="D2709" s="241"/>
      <c r="E2709" s="241"/>
    </row>
    <row r="2710" spans="1:5" customFormat="1" ht="24.95" customHeight="1" x14ac:dyDescent="0.25">
      <c r="A2710" s="241"/>
      <c r="B2710" s="243"/>
      <c r="C2710" s="241"/>
      <c r="D2710" s="241"/>
      <c r="E2710" s="241"/>
    </row>
    <row r="2711" spans="1:5" customFormat="1" ht="24.95" customHeight="1" x14ac:dyDescent="0.25">
      <c r="A2711" s="241"/>
      <c r="B2711" s="243"/>
      <c r="C2711" s="241"/>
      <c r="D2711" s="241"/>
      <c r="E2711" s="241"/>
    </row>
    <row r="2712" spans="1:5" customFormat="1" ht="24.95" customHeight="1" x14ac:dyDescent="0.25">
      <c r="A2712" s="241"/>
      <c r="B2712" s="243"/>
      <c r="C2712" s="241"/>
      <c r="D2712" s="241"/>
      <c r="E2712" s="241"/>
    </row>
    <row r="2713" spans="1:5" customFormat="1" ht="24.95" customHeight="1" x14ac:dyDescent="0.25">
      <c r="A2713" s="241"/>
      <c r="B2713" s="243"/>
      <c r="C2713" s="241"/>
      <c r="D2713" s="241"/>
      <c r="E2713" s="241"/>
    </row>
    <row r="2714" spans="1:5" customFormat="1" ht="24.95" customHeight="1" x14ac:dyDescent="0.25">
      <c r="A2714" s="241"/>
      <c r="B2714" s="243"/>
      <c r="C2714" s="241"/>
      <c r="D2714" s="241"/>
      <c r="E2714" s="241"/>
    </row>
    <row r="2715" spans="1:5" customFormat="1" ht="24.95" customHeight="1" x14ac:dyDescent="0.25">
      <c r="A2715" s="241"/>
      <c r="B2715" s="243"/>
      <c r="C2715" s="241"/>
      <c r="D2715" s="241"/>
      <c r="E2715" s="241"/>
    </row>
    <row r="2716" spans="1:5" customFormat="1" ht="24.95" customHeight="1" x14ac:dyDescent="0.25">
      <c r="A2716" s="241"/>
      <c r="B2716" s="243"/>
      <c r="C2716" s="241"/>
      <c r="D2716" s="241"/>
      <c r="E2716" s="241"/>
    </row>
    <row r="2717" spans="1:5" customFormat="1" ht="24.95" customHeight="1" x14ac:dyDescent="0.25">
      <c r="A2717" s="241"/>
      <c r="B2717" s="243"/>
      <c r="C2717" s="241"/>
      <c r="D2717" s="241"/>
      <c r="E2717" s="241"/>
    </row>
    <row r="2718" spans="1:5" customFormat="1" ht="24.95" customHeight="1" x14ac:dyDescent="0.25">
      <c r="A2718" s="241"/>
      <c r="B2718" s="243"/>
      <c r="C2718" s="241"/>
      <c r="D2718" s="241"/>
      <c r="E2718" s="241"/>
    </row>
    <row r="2719" spans="1:5" customFormat="1" ht="24.95" customHeight="1" x14ac:dyDescent="0.25">
      <c r="A2719" s="241"/>
      <c r="B2719" s="243"/>
      <c r="C2719" s="241"/>
      <c r="D2719" s="241"/>
      <c r="E2719" s="241"/>
    </row>
    <row r="2720" spans="1:5" customFormat="1" ht="24.95" customHeight="1" x14ac:dyDescent="0.25">
      <c r="A2720" s="241"/>
      <c r="B2720" s="243"/>
      <c r="C2720" s="241"/>
      <c r="D2720" s="241"/>
      <c r="E2720" s="241"/>
    </row>
    <row r="2721" spans="1:5" customFormat="1" ht="24.95" customHeight="1" x14ac:dyDescent="0.25">
      <c r="A2721" s="241"/>
      <c r="B2721" s="243"/>
      <c r="C2721" s="241"/>
      <c r="D2721" s="241"/>
      <c r="E2721" s="241"/>
    </row>
    <row r="2722" spans="1:5" customFormat="1" ht="24.95" customHeight="1" x14ac:dyDescent="0.25">
      <c r="A2722" s="241"/>
      <c r="B2722" s="243"/>
      <c r="C2722" s="241"/>
      <c r="D2722" s="241"/>
      <c r="E2722" s="241"/>
    </row>
    <row r="2723" spans="1:5" customFormat="1" ht="24.95" customHeight="1" x14ac:dyDescent="0.25">
      <c r="A2723" s="241"/>
      <c r="B2723" s="243"/>
      <c r="C2723" s="241"/>
      <c r="D2723" s="241"/>
      <c r="E2723" s="241"/>
    </row>
    <row r="2724" spans="1:5" customFormat="1" ht="24.95" customHeight="1" x14ac:dyDescent="0.25">
      <c r="A2724" s="241"/>
      <c r="B2724" s="243"/>
      <c r="C2724" s="241"/>
      <c r="D2724" s="241"/>
      <c r="E2724" s="241"/>
    </row>
    <row r="2725" spans="1:5" customFormat="1" ht="24.95" customHeight="1" x14ac:dyDescent="0.25">
      <c r="A2725" s="241"/>
      <c r="B2725" s="243"/>
      <c r="C2725" s="241"/>
      <c r="D2725" s="241"/>
      <c r="E2725" s="241"/>
    </row>
    <row r="2726" spans="1:5" customFormat="1" ht="24.95" customHeight="1" x14ac:dyDescent="0.25">
      <c r="A2726" s="241"/>
      <c r="B2726" s="243"/>
      <c r="C2726" s="241"/>
      <c r="D2726" s="241"/>
      <c r="E2726" s="241"/>
    </row>
    <row r="2727" spans="1:5" customFormat="1" ht="24.95" customHeight="1" x14ac:dyDescent="0.25">
      <c r="A2727" s="241"/>
      <c r="B2727" s="243"/>
      <c r="C2727" s="241"/>
      <c r="D2727" s="241"/>
      <c r="E2727" s="241"/>
    </row>
    <row r="2728" spans="1:5" customFormat="1" ht="24.95" customHeight="1" x14ac:dyDescent="0.25">
      <c r="A2728" s="241"/>
      <c r="B2728" s="243"/>
      <c r="C2728" s="241"/>
      <c r="D2728" s="241"/>
      <c r="E2728" s="241"/>
    </row>
    <row r="2729" spans="1:5" customFormat="1" ht="24.95" customHeight="1" x14ac:dyDescent="0.25">
      <c r="A2729" s="241"/>
      <c r="B2729" s="243"/>
      <c r="C2729" s="241"/>
      <c r="D2729" s="241"/>
      <c r="E2729" s="241"/>
    </row>
    <row r="2730" spans="1:5" customFormat="1" ht="24.95" customHeight="1" x14ac:dyDescent="0.25">
      <c r="A2730" s="241"/>
      <c r="B2730" s="243"/>
      <c r="C2730" s="241"/>
      <c r="D2730" s="241"/>
      <c r="E2730" s="241"/>
    </row>
    <row r="2731" spans="1:5" customFormat="1" ht="24.95" customHeight="1" x14ac:dyDescent="0.25">
      <c r="A2731" s="241"/>
      <c r="B2731" s="243"/>
      <c r="C2731" s="241"/>
      <c r="D2731" s="241"/>
      <c r="E2731" s="241"/>
    </row>
    <row r="2732" spans="1:5" customFormat="1" ht="24.95" customHeight="1" x14ac:dyDescent="0.25">
      <c r="A2732" s="241"/>
      <c r="B2732" s="243"/>
      <c r="C2732" s="241"/>
      <c r="D2732" s="241"/>
      <c r="E2732" s="241"/>
    </row>
    <row r="2733" spans="1:5" customFormat="1" ht="24.95" customHeight="1" x14ac:dyDescent="0.25">
      <c r="A2733" s="241"/>
      <c r="B2733" s="243"/>
      <c r="C2733" s="241"/>
      <c r="D2733" s="241"/>
      <c r="E2733" s="241"/>
    </row>
    <row r="2734" spans="1:5" customFormat="1" ht="24.95" customHeight="1" x14ac:dyDescent="0.25">
      <c r="A2734" s="241"/>
      <c r="B2734" s="243"/>
      <c r="C2734" s="241"/>
      <c r="D2734" s="241"/>
      <c r="E2734" s="241"/>
    </row>
    <row r="2735" spans="1:5" customFormat="1" ht="24.95" customHeight="1" x14ac:dyDescent="0.25">
      <c r="A2735" s="241"/>
      <c r="B2735" s="243"/>
      <c r="C2735" s="241"/>
      <c r="D2735" s="241"/>
      <c r="E2735" s="241"/>
    </row>
    <row r="2736" spans="1:5" customFormat="1" ht="24.95" customHeight="1" x14ac:dyDescent="0.25">
      <c r="A2736" s="241"/>
      <c r="B2736" s="243"/>
      <c r="C2736" s="241"/>
      <c r="D2736" s="241"/>
      <c r="E2736" s="241"/>
    </row>
    <row r="2737" spans="1:5" customFormat="1" ht="24.95" customHeight="1" x14ac:dyDescent="0.25">
      <c r="A2737" s="241"/>
      <c r="B2737" s="243"/>
      <c r="C2737" s="241"/>
      <c r="D2737" s="241"/>
      <c r="E2737" s="241"/>
    </row>
    <row r="2738" spans="1:5" customFormat="1" ht="24.95" customHeight="1" x14ac:dyDescent="0.25">
      <c r="A2738" s="241"/>
      <c r="B2738" s="243"/>
      <c r="C2738" s="241"/>
      <c r="D2738" s="241"/>
      <c r="E2738" s="241"/>
    </row>
    <row r="2739" spans="1:5" customFormat="1" ht="24.95" customHeight="1" x14ac:dyDescent="0.25">
      <c r="A2739" s="241"/>
      <c r="B2739" s="243"/>
      <c r="C2739" s="241"/>
      <c r="D2739" s="241"/>
      <c r="E2739" s="241"/>
    </row>
    <row r="2740" spans="1:5" customFormat="1" ht="24.95" customHeight="1" x14ac:dyDescent="0.25">
      <c r="A2740" s="241"/>
      <c r="B2740" s="243"/>
      <c r="C2740" s="241"/>
      <c r="D2740" s="241"/>
      <c r="E2740" s="241"/>
    </row>
    <row r="2741" spans="1:5" customFormat="1" ht="24.95" customHeight="1" x14ac:dyDescent="0.25">
      <c r="A2741" s="241"/>
      <c r="B2741" s="243"/>
      <c r="C2741" s="241"/>
      <c r="D2741" s="241"/>
      <c r="E2741" s="241"/>
    </row>
    <row r="2742" spans="1:5" customFormat="1" ht="24.95" customHeight="1" x14ac:dyDescent="0.25">
      <c r="A2742" s="241"/>
      <c r="B2742" s="243"/>
      <c r="C2742" s="241"/>
      <c r="D2742" s="241"/>
      <c r="E2742" s="241"/>
    </row>
    <row r="2743" spans="1:5" customFormat="1" ht="24.95" customHeight="1" x14ac:dyDescent="0.25">
      <c r="A2743" s="241"/>
      <c r="B2743" s="243"/>
      <c r="C2743" s="241"/>
      <c r="D2743" s="241"/>
      <c r="E2743" s="241"/>
    </row>
    <row r="2744" spans="1:5" customFormat="1" ht="24.95" customHeight="1" x14ac:dyDescent="0.25">
      <c r="A2744" s="241"/>
      <c r="B2744" s="243"/>
      <c r="C2744" s="241"/>
      <c r="D2744" s="241"/>
      <c r="E2744" s="241"/>
    </row>
    <row r="2745" spans="1:5" customFormat="1" ht="24.95" customHeight="1" x14ac:dyDescent="0.25">
      <c r="A2745" s="241"/>
      <c r="B2745" s="243"/>
      <c r="C2745" s="241"/>
      <c r="D2745" s="241"/>
      <c r="E2745" s="241"/>
    </row>
    <row r="2746" spans="1:5" customFormat="1" ht="24.95" customHeight="1" x14ac:dyDescent="0.25">
      <c r="A2746" s="241"/>
      <c r="B2746" s="243"/>
      <c r="C2746" s="241"/>
      <c r="D2746" s="241"/>
      <c r="E2746" s="241"/>
    </row>
    <row r="2747" spans="1:5" customFormat="1" ht="24.95" customHeight="1" x14ac:dyDescent="0.25">
      <c r="A2747" s="241"/>
      <c r="B2747" s="243"/>
      <c r="C2747" s="241"/>
      <c r="D2747" s="241"/>
      <c r="E2747" s="241"/>
    </row>
    <row r="2748" spans="1:5" customFormat="1" ht="24.95" customHeight="1" x14ac:dyDescent="0.25">
      <c r="A2748" s="241"/>
      <c r="B2748" s="243"/>
      <c r="C2748" s="241"/>
      <c r="D2748" s="241"/>
      <c r="E2748" s="241"/>
    </row>
    <row r="2749" spans="1:5" customFormat="1" ht="24.95" customHeight="1" x14ac:dyDescent="0.25">
      <c r="A2749" s="241"/>
      <c r="B2749" s="243"/>
      <c r="C2749" s="241"/>
      <c r="D2749" s="241"/>
      <c r="E2749" s="241"/>
    </row>
    <row r="2750" spans="1:5" customFormat="1" ht="24.95" customHeight="1" x14ac:dyDescent="0.25">
      <c r="A2750" s="241"/>
      <c r="B2750" s="243"/>
      <c r="C2750" s="241"/>
      <c r="D2750" s="241"/>
      <c r="E2750" s="241"/>
    </row>
    <row r="2751" spans="1:5" customFormat="1" ht="24.95" customHeight="1" x14ac:dyDescent="0.25">
      <c r="A2751" s="241"/>
      <c r="B2751" s="243"/>
      <c r="C2751" s="241"/>
      <c r="D2751" s="241"/>
      <c r="E2751" s="241"/>
    </row>
    <row r="2752" spans="1:5" customFormat="1" ht="24.95" customHeight="1" x14ac:dyDescent="0.25">
      <c r="A2752" s="241"/>
      <c r="B2752" s="243"/>
      <c r="C2752" s="241"/>
      <c r="D2752" s="241"/>
      <c r="E2752" s="241"/>
    </row>
    <row r="2753" spans="1:5" customFormat="1" ht="24.95" customHeight="1" x14ac:dyDescent="0.25">
      <c r="A2753" s="241"/>
      <c r="B2753" s="243"/>
      <c r="C2753" s="241"/>
      <c r="D2753" s="241"/>
      <c r="E2753" s="241"/>
    </row>
    <row r="2754" spans="1:5" customFormat="1" ht="24.95" customHeight="1" x14ac:dyDescent="0.25">
      <c r="A2754" s="241"/>
      <c r="B2754" s="243"/>
      <c r="C2754" s="241"/>
      <c r="D2754" s="241"/>
      <c r="E2754" s="241"/>
    </row>
    <row r="2755" spans="1:5" customFormat="1" ht="24.95" customHeight="1" x14ac:dyDescent="0.25">
      <c r="A2755" s="241"/>
      <c r="B2755" s="243"/>
      <c r="C2755" s="241"/>
      <c r="D2755" s="241"/>
      <c r="E2755" s="241"/>
    </row>
    <row r="2756" spans="1:5" customFormat="1" ht="24.95" customHeight="1" x14ac:dyDescent="0.25">
      <c r="A2756" s="241"/>
      <c r="B2756" s="243"/>
      <c r="C2756" s="241"/>
      <c r="D2756" s="241"/>
      <c r="E2756" s="241"/>
    </row>
    <row r="2757" spans="1:5" customFormat="1" ht="24.95" customHeight="1" x14ac:dyDescent="0.25">
      <c r="A2757" s="241"/>
      <c r="B2757" s="243"/>
      <c r="C2757" s="241"/>
      <c r="D2757" s="241"/>
      <c r="E2757" s="241"/>
    </row>
    <row r="2758" spans="1:5" customFormat="1" ht="24.95" customHeight="1" x14ac:dyDescent="0.25">
      <c r="A2758" s="241"/>
      <c r="B2758" s="243"/>
      <c r="C2758" s="241"/>
      <c r="D2758" s="241"/>
      <c r="E2758" s="241"/>
    </row>
    <row r="2759" spans="1:5" customFormat="1" ht="24.95" customHeight="1" x14ac:dyDescent="0.25">
      <c r="A2759" s="241"/>
      <c r="B2759" s="243"/>
      <c r="C2759" s="241"/>
      <c r="D2759" s="241"/>
      <c r="E2759" s="241"/>
    </row>
    <row r="2760" spans="1:5" customFormat="1" ht="24.95" customHeight="1" x14ac:dyDescent="0.25">
      <c r="A2760" s="241"/>
      <c r="B2760" s="243"/>
      <c r="C2760" s="241"/>
      <c r="D2760" s="241"/>
      <c r="E2760" s="241"/>
    </row>
    <row r="2761" spans="1:5" customFormat="1" ht="24.95" customHeight="1" x14ac:dyDescent="0.25">
      <c r="A2761" s="241"/>
      <c r="B2761" s="243"/>
      <c r="C2761" s="241"/>
      <c r="D2761" s="241"/>
      <c r="E2761" s="241"/>
    </row>
    <row r="2762" spans="1:5" customFormat="1" ht="24.95" customHeight="1" x14ac:dyDescent="0.25">
      <c r="A2762" s="241"/>
      <c r="B2762" s="243"/>
      <c r="C2762" s="241"/>
      <c r="D2762" s="241"/>
      <c r="E2762" s="241"/>
    </row>
    <row r="2763" spans="1:5" customFormat="1" ht="24.95" customHeight="1" x14ac:dyDescent="0.25">
      <c r="A2763" s="241"/>
      <c r="B2763" s="243"/>
      <c r="C2763" s="241"/>
      <c r="D2763" s="241"/>
      <c r="E2763" s="241"/>
    </row>
    <row r="2764" spans="1:5" customFormat="1" ht="24.95" customHeight="1" x14ac:dyDescent="0.25">
      <c r="A2764" s="241"/>
      <c r="B2764" s="243"/>
      <c r="C2764" s="241"/>
      <c r="D2764" s="241"/>
      <c r="E2764" s="241"/>
    </row>
    <row r="2765" spans="1:5" customFormat="1" ht="24.95" customHeight="1" x14ac:dyDescent="0.25">
      <c r="A2765" s="241"/>
      <c r="B2765" s="243"/>
      <c r="C2765" s="241"/>
      <c r="D2765" s="241"/>
      <c r="E2765" s="241"/>
    </row>
    <row r="2766" spans="1:5" customFormat="1" ht="24.95" customHeight="1" x14ac:dyDescent="0.25">
      <c r="A2766" s="241"/>
      <c r="B2766" s="243"/>
      <c r="C2766" s="241"/>
      <c r="D2766" s="241"/>
      <c r="E2766" s="241"/>
    </row>
    <row r="2767" spans="1:5" customFormat="1" ht="24.95" customHeight="1" x14ac:dyDescent="0.25">
      <c r="A2767" s="241"/>
      <c r="B2767" s="243"/>
      <c r="C2767" s="241"/>
      <c r="D2767" s="241"/>
      <c r="E2767" s="241"/>
    </row>
    <row r="2768" spans="1:5" customFormat="1" ht="24.95" customHeight="1" x14ac:dyDescent="0.25">
      <c r="A2768" s="241"/>
      <c r="B2768" s="243"/>
      <c r="C2768" s="241"/>
      <c r="D2768" s="241"/>
      <c r="E2768" s="241"/>
    </row>
    <row r="2769" spans="1:5" customFormat="1" ht="24.95" customHeight="1" x14ac:dyDescent="0.25">
      <c r="A2769" s="241"/>
      <c r="B2769" s="243"/>
      <c r="C2769" s="241"/>
      <c r="D2769" s="241"/>
      <c r="E2769" s="241"/>
    </row>
    <row r="2770" spans="1:5" customFormat="1" ht="24.95" customHeight="1" x14ac:dyDescent="0.25">
      <c r="A2770" s="241"/>
      <c r="B2770" s="243"/>
      <c r="C2770" s="241"/>
      <c r="D2770" s="241"/>
      <c r="E2770" s="241"/>
    </row>
    <row r="2771" spans="1:5" customFormat="1" ht="24.95" customHeight="1" x14ac:dyDescent="0.25">
      <c r="A2771" s="241"/>
      <c r="B2771" s="243"/>
      <c r="C2771" s="241"/>
      <c r="D2771" s="241"/>
      <c r="E2771" s="241"/>
    </row>
    <row r="2772" spans="1:5" customFormat="1" ht="24.95" customHeight="1" x14ac:dyDescent="0.25">
      <c r="A2772" s="241"/>
      <c r="B2772" s="243"/>
      <c r="C2772" s="241"/>
      <c r="D2772" s="241"/>
      <c r="E2772" s="241"/>
    </row>
    <row r="2773" spans="1:5" customFormat="1" ht="24.95" customHeight="1" x14ac:dyDescent="0.25">
      <c r="A2773" s="241"/>
      <c r="B2773" s="243"/>
      <c r="C2773" s="241"/>
      <c r="D2773" s="241"/>
      <c r="E2773" s="241"/>
    </row>
    <row r="2774" spans="1:5" customFormat="1" ht="24.95" customHeight="1" x14ac:dyDescent="0.25">
      <c r="A2774" s="241"/>
      <c r="B2774" s="243"/>
      <c r="C2774" s="241"/>
      <c r="D2774" s="241"/>
      <c r="E2774" s="241"/>
    </row>
    <row r="2775" spans="1:5" customFormat="1" ht="24.95" customHeight="1" x14ac:dyDescent="0.25">
      <c r="A2775" s="241"/>
      <c r="B2775" s="243"/>
      <c r="C2775" s="241"/>
      <c r="D2775" s="241"/>
      <c r="E2775" s="241"/>
    </row>
    <row r="2776" spans="1:5" customFormat="1" ht="24.95" customHeight="1" x14ac:dyDescent="0.25">
      <c r="A2776" s="241"/>
      <c r="B2776" s="243"/>
      <c r="C2776" s="241"/>
      <c r="D2776" s="241"/>
      <c r="E2776" s="241"/>
    </row>
    <row r="2777" spans="1:5" customFormat="1" ht="24.95" customHeight="1" x14ac:dyDescent="0.25">
      <c r="A2777" s="241"/>
      <c r="B2777" s="243"/>
      <c r="C2777" s="241"/>
      <c r="D2777" s="241"/>
      <c r="E2777" s="241"/>
    </row>
    <row r="2778" spans="1:5" customFormat="1" ht="24.95" customHeight="1" x14ac:dyDescent="0.25">
      <c r="A2778" s="241"/>
      <c r="B2778" s="243"/>
      <c r="C2778" s="241"/>
      <c r="D2778" s="241"/>
      <c r="E2778" s="241"/>
    </row>
    <row r="2779" spans="1:5" customFormat="1" ht="24.95" customHeight="1" x14ac:dyDescent="0.25">
      <c r="A2779" s="241"/>
      <c r="B2779" s="243"/>
      <c r="C2779" s="241"/>
      <c r="D2779" s="241"/>
      <c r="E2779" s="241"/>
    </row>
    <row r="2780" spans="1:5" customFormat="1" ht="24.95" customHeight="1" x14ac:dyDescent="0.25">
      <c r="A2780" s="241"/>
      <c r="B2780" s="243"/>
      <c r="C2780" s="241"/>
      <c r="D2780" s="241"/>
      <c r="E2780" s="241"/>
    </row>
    <row r="2781" spans="1:5" customFormat="1" ht="24.95" customHeight="1" x14ac:dyDescent="0.25">
      <c r="A2781" s="241"/>
      <c r="B2781" s="243"/>
      <c r="C2781" s="241"/>
      <c r="D2781" s="241"/>
      <c r="E2781" s="241"/>
    </row>
    <row r="2782" spans="1:5" customFormat="1" ht="24.95" customHeight="1" x14ac:dyDescent="0.25">
      <c r="A2782" s="241"/>
      <c r="B2782" s="243"/>
      <c r="C2782" s="241"/>
      <c r="D2782" s="241"/>
      <c r="E2782" s="241"/>
    </row>
    <row r="2783" spans="1:5" customFormat="1" ht="24.95" customHeight="1" x14ac:dyDescent="0.25">
      <c r="A2783" s="241"/>
      <c r="B2783" s="243"/>
      <c r="C2783" s="241"/>
      <c r="D2783" s="241"/>
      <c r="E2783" s="241"/>
    </row>
    <row r="2784" spans="1:5" customFormat="1" ht="24.95" customHeight="1" x14ac:dyDescent="0.25">
      <c r="A2784" s="241"/>
      <c r="B2784" s="243"/>
      <c r="C2784" s="241"/>
      <c r="D2784" s="241"/>
      <c r="E2784" s="241"/>
    </row>
    <row r="2785" spans="1:5" customFormat="1" ht="24.95" customHeight="1" x14ac:dyDescent="0.25">
      <c r="A2785" s="241"/>
      <c r="B2785" s="243"/>
      <c r="C2785" s="241"/>
      <c r="D2785" s="241"/>
      <c r="E2785" s="241"/>
    </row>
    <row r="2786" spans="1:5" customFormat="1" ht="24.95" customHeight="1" x14ac:dyDescent="0.25">
      <c r="A2786" s="241"/>
      <c r="B2786" s="243"/>
      <c r="C2786" s="241"/>
      <c r="D2786" s="241"/>
      <c r="E2786" s="241"/>
    </row>
    <row r="2787" spans="1:5" customFormat="1" ht="24.95" customHeight="1" x14ac:dyDescent="0.25">
      <c r="A2787" s="241"/>
      <c r="B2787" s="243"/>
      <c r="C2787" s="241"/>
      <c r="D2787" s="241"/>
      <c r="E2787" s="241"/>
    </row>
    <row r="2788" spans="1:5" customFormat="1" ht="24.95" customHeight="1" x14ac:dyDescent="0.25">
      <c r="A2788" s="241"/>
      <c r="B2788" s="243"/>
      <c r="C2788" s="241"/>
      <c r="D2788" s="241"/>
      <c r="E2788" s="241"/>
    </row>
    <row r="2789" spans="1:5" customFormat="1" ht="24.95" customHeight="1" x14ac:dyDescent="0.25">
      <c r="A2789" s="241"/>
      <c r="B2789" s="243"/>
      <c r="C2789" s="241"/>
      <c r="D2789" s="241"/>
      <c r="E2789" s="241"/>
    </row>
    <row r="2790" spans="1:5" customFormat="1" ht="24.95" customHeight="1" x14ac:dyDescent="0.25">
      <c r="A2790" s="241"/>
      <c r="B2790" s="243"/>
      <c r="C2790" s="241"/>
      <c r="D2790" s="241"/>
      <c r="E2790" s="241"/>
    </row>
    <row r="2791" spans="1:5" customFormat="1" ht="24.95" customHeight="1" x14ac:dyDescent="0.25">
      <c r="A2791" s="241"/>
      <c r="B2791" s="243"/>
      <c r="C2791" s="241"/>
      <c r="D2791" s="241"/>
      <c r="E2791" s="241"/>
    </row>
    <row r="2792" spans="1:5" customFormat="1" ht="24.95" customHeight="1" x14ac:dyDescent="0.25">
      <c r="A2792" s="241"/>
      <c r="B2792" s="243"/>
      <c r="C2792" s="241"/>
      <c r="D2792" s="241"/>
      <c r="E2792" s="241"/>
    </row>
    <row r="2793" spans="1:5" customFormat="1" ht="24.95" customHeight="1" x14ac:dyDescent="0.25">
      <c r="A2793" s="241"/>
      <c r="B2793" s="243"/>
      <c r="C2793" s="241"/>
      <c r="D2793" s="241"/>
      <c r="E2793" s="241"/>
    </row>
    <row r="2794" spans="1:5" customFormat="1" ht="24.95" customHeight="1" x14ac:dyDescent="0.25">
      <c r="A2794" s="241"/>
      <c r="B2794" s="243"/>
      <c r="C2794" s="241"/>
      <c r="D2794" s="241"/>
      <c r="E2794" s="241"/>
    </row>
    <row r="2795" spans="1:5" customFormat="1" ht="24.95" customHeight="1" x14ac:dyDescent="0.25">
      <c r="A2795" s="241"/>
      <c r="B2795" s="243"/>
      <c r="C2795" s="241"/>
      <c r="D2795" s="241"/>
      <c r="E2795" s="241"/>
    </row>
    <row r="2796" spans="1:5" customFormat="1" ht="24.95" customHeight="1" x14ac:dyDescent="0.25">
      <c r="A2796" s="241"/>
      <c r="B2796" s="243"/>
      <c r="C2796" s="241"/>
      <c r="D2796" s="241"/>
      <c r="E2796" s="241"/>
    </row>
    <row r="2797" spans="1:5" customFormat="1" ht="24.95" customHeight="1" x14ac:dyDescent="0.25">
      <c r="A2797" s="241"/>
      <c r="B2797" s="243"/>
      <c r="C2797" s="241"/>
      <c r="D2797" s="241"/>
      <c r="E2797" s="241"/>
    </row>
    <row r="2798" spans="1:5" customFormat="1" ht="24.95" customHeight="1" x14ac:dyDescent="0.25">
      <c r="A2798" s="241"/>
      <c r="B2798" s="243"/>
      <c r="C2798" s="241"/>
      <c r="D2798" s="241"/>
      <c r="E2798" s="241"/>
    </row>
    <row r="2799" spans="1:5" customFormat="1" ht="24.95" customHeight="1" x14ac:dyDescent="0.25">
      <c r="A2799" s="241"/>
      <c r="B2799" s="243"/>
      <c r="C2799" s="241"/>
      <c r="D2799" s="241"/>
      <c r="E2799" s="241"/>
    </row>
    <row r="2800" spans="1:5" customFormat="1" ht="24.95" customHeight="1" x14ac:dyDescent="0.25">
      <c r="A2800" s="241"/>
      <c r="B2800" s="243"/>
      <c r="C2800" s="241"/>
      <c r="D2800" s="241"/>
      <c r="E2800" s="241"/>
    </row>
    <row r="2801" spans="1:5" customFormat="1" ht="24.95" customHeight="1" x14ac:dyDescent="0.25">
      <c r="A2801" s="241"/>
      <c r="B2801" s="243"/>
      <c r="C2801" s="241"/>
      <c r="D2801" s="241"/>
      <c r="E2801" s="241"/>
    </row>
    <row r="2802" spans="1:5" customFormat="1" ht="24.95" customHeight="1" x14ac:dyDescent="0.25">
      <c r="A2802" s="241"/>
      <c r="B2802" s="243"/>
      <c r="C2802" s="241"/>
      <c r="D2802" s="241"/>
      <c r="E2802" s="241"/>
    </row>
    <row r="2803" spans="1:5" customFormat="1" ht="24.95" customHeight="1" x14ac:dyDescent="0.25">
      <c r="A2803" s="241"/>
      <c r="B2803" s="243"/>
      <c r="C2803" s="241"/>
      <c r="D2803" s="241"/>
      <c r="E2803" s="241"/>
    </row>
    <row r="2804" spans="1:5" customFormat="1" ht="24.95" customHeight="1" x14ac:dyDescent="0.25">
      <c r="A2804" s="241"/>
      <c r="B2804" s="243"/>
      <c r="C2804" s="241"/>
      <c r="D2804" s="241"/>
      <c r="E2804" s="241"/>
    </row>
    <row r="2805" spans="1:5" customFormat="1" ht="24.95" customHeight="1" x14ac:dyDescent="0.25">
      <c r="A2805" s="241"/>
      <c r="B2805" s="243"/>
      <c r="C2805" s="241"/>
      <c r="D2805" s="241"/>
      <c r="E2805" s="241"/>
    </row>
    <row r="2806" spans="1:5" customFormat="1" ht="24.95" customHeight="1" x14ac:dyDescent="0.25">
      <c r="A2806" s="241"/>
      <c r="B2806" s="243"/>
      <c r="C2806" s="241"/>
      <c r="D2806" s="241"/>
      <c r="E2806" s="241"/>
    </row>
    <row r="2807" spans="1:5" customFormat="1" ht="24.95" customHeight="1" x14ac:dyDescent="0.25">
      <c r="A2807" s="241"/>
      <c r="B2807" s="243"/>
      <c r="C2807" s="241"/>
      <c r="D2807" s="241"/>
      <c r="E2807" s="241"/>
    </row>
    <row r="2808" spans="1:5" customFormat="1" ht="24.95" customHeight="1" x14ac:dyDescent="0.25">
      <c r="A2808" s="241"/>
      <c r="B2808" s="243"/>
      <c r="C2808" s="241"/>
      <c r="D2808" s="241"/>
      <c r="E2808" s="241"/>
    </row>
    <row r="2809" spans="1:5" customFormat="1" ht="24.95" customHeight="1" x14ac:dyDescent="0.25">
      <c r="A2809" s="241"/>
      <c r="B2809" s="243"/>
      <c r="C2809" s="241"/>
      <c r="D2809" s="241"/>
      <c r="E2809" s="241"/>
    </row>
    <row r="2810" spans="1:5" customFormat="1" ht="24.95" customHeight="1" x14ac:dyDescent="0.25">
      <c r="A2810" s="241"/>
      <c r="B2810" s="243"/>
      <c r="C2810" s="241"/>
      <c r="D2810" s="241"/>
      <c r="E2810" s="241"/>
    </row>
    <row r="2811" spans="1:5" customFormat="1" ht="24.95" customHeight="1" x14ac:dyDescent="0.25">
      <c r="A2811" s="241"/>
      <c r="B2811" s="243"/>
      <c r="C2811" s="241"/>
      <c r="D2811" s="241"/>
      <c r="E2811" s="241"/>
    </row>
    <row r="2812" spans="1:5" customFormat="1" ht="24.95" customHeight="1" x14ac:dyDescent="0.25">
      <c r="A2812" s="241"/>
      <c r="B2812" s="243"/>
      <c r="C2812" s="241"/>
      <c r="D2812" s="241"/>
      <c r="E2812" s="241"/>
    </row>
    <row r="2813" spans="1:5" customFormat="1" ht="24.95" customHeight="1" x14ac:dyDescent="0.25">
      <c r="A2813" s="241"/>
      <c r="B2813" s="243"/>
      <c r="C2813" s="241"/>
      <c r="D2813" s="241"/>
      <c r="E2813" s="241"/>
    </row>
    <row r="2814" spans="1:5" customFormat="1" ht="24.95" customHeight="1" x14ac:dyDescent="0.25">
      <c r="A2814" s="241"/>
      <c r="B2814" s="243"/>
      <c r="C2814" s="241"/>
      <c r="D2814" s="241"/>
      <c r="E2814" s="241"/>
    </row>
    <row r="2815" spans="1:5" customFormat="1" ht="24.95" customHeight="1" x14ac:dyDescent="0.25">
      <c r="A2815" s="241"/>
      <c r="B2815" s="243"/>
      <c r="C2815" s="241"/>
      <c r="D2815" s="241"/>
      <c r="E2815" s="241"/>
    </row>
    <row r="2816" spans="1:5" customFormat="1" ht="24.95" customHeight="1" x14ac:dyDescent="0.25">
      <c r="A2816" s="241"/>
      <c r="B2816" s="243"/>
      <c r="C2816" s="241"/>
      <c r="D2816" s="241"/>
      <c r="E2816" s="241"/>
    </row>
    <row r="2817" spans="1:5" customFormat="1" ht="24.95" customHeight="1" x14ac:dyDescent="0.25">
      <c r="A2817" s="241"/>
      <c r="B2817" s="243"/>
      <c r="C2817" s="241"/>
      <c r="D2817" s="241"/>
      <c r="E2817" s="241"/>
    </row>
    <row r="2818" spans="1:5" customFormat="1" ht="24.95" customHeight="1" x14ac:dyDescent="0.25">
      <c r="A2818" s="241"/>
      <c r="B2818" s="243"/>
      <c r="C2818" s="241"/>
      <c r="D2818" s="241"/>
      <c r="E2818" s="241"/>
    </row>
    <row r="2819" spans="1:5" customFormat="1" ht="24.95" customHeight="1" x14ac:dyDescent="0.25">
      <c r="A2819" s="241"/>
      <c r="B2819" s="243"/>
      <c r="C2819" s="241"/>
      <c r="D2819" s="241"/>
      <c r="E2819" s="241"/>
    </row>
    <row r="2820" spans="1:5" customFormat="1" ht="24.95" customHeight="1" x14ac:dyDescent="0.25">
      <c r="A2820" s="241"/>
      <c r="B2820" s="243"/>
      <c r="C2820" s="241"/>
      <c r="D2820" s="241"/>
      <c r="E2820" s="241"/>
    </row>
    <row r="2821" spans="1:5" customFormat="1" ht="24.95" customHeight="1" x14ac:dyDescent="0.25">
      <c r="A2821" s="241"/>
      <c r="B2821" s="243"/>
      <c r="C2821" s="241"/>
      <c r="D2821" s="241"/>
      <c r="E2821" s="241"/>
    </row>
    <row r="2822" spans="1:5" customFormat="1" ht="24.95" customHeight="1" x14ac:dyDescent="0.25">
      <c r="A2822" s="241"/>
      <c r="B2822" s="243"/>
      <c r="C2822" s="241"/>
      <c r="D2822" s="241"/>
      <c r="E2822" s="241"/>
    </row>
    <row r="2823" spans="1:5" customFormat="1" ht="24.95" customHeight="1" x14ac:dyDescent="0.25">
      <c r="A2823" s="241"/>
      <c r="B2823" s="243"/>
      <c r="C2823" s="241"/>
      <c r="D2823" s="241"/>
      <c r="E2823" s="241"/>
    </row>
    <row r="2824" spans="1:5" customFormat="1" ht="24.95" customHeight="1" x14ac:dyDescent="0.25">
      <c r="A2824" s="241"/>
      <c r="B2824" s="243"/>
      <c r="C2824" s="241"/>
      <c r="D2824" s="241"/>
      <c r="E2824" s="241"/>
    </row>
    <row r="2825" spans="1:5" customFormat="1" ht="24.95" customHeight="1" x14ac:dyDescent="0.25">
      <c r="A2825" s="241"/>
      <c r="B2825" s="243"/>
      <c r="C2825" s="241"/>
      <c r="D2825" s="241"/>
      <c r="E2825" s="241"/>
    </row>
    <row r="2826" spans="1:5" customFormat="1" ht="24.95" customHeight="1" x14ac:dyDescent="0.25">
      <c r="A2826" s="241"/>
      <c r="B2826" s="243"/>
      <c r="C2826" s="241"/>
      <c r="D2826" s="241"/>
      <c r="E2826" s="241"/>
    </row>
    <row r="2827" spans="1:5" customFormat="1" ht="24.95" customHeight="1" x14ac:dyDescent="0.25">
      <c r="A2827" s="241"/>
      <c r="B2827" s="243"/>
      <c r="C2827" s="241"/>
      <c r="D2827" s="241"/>
      <c r="E2827" s="241"/>
    </row>
    <row r="2828" spans="1:5" customFormat="1" ht="24.95" customHeight="1" x14ac:dyDescent="0.25">
      <c r="A2828" s="241"/>
      <c r="B2828" s="243"/>
      <c r="C2828" s="241"/>
      <c r="D2828" s="241"/>
      <c r="E2828" s="241"/>
    </row>
    <row r="2829" spans="1:5" customFormat="1" ht="24.95" customHeight="1" x14ac:dyDescent="0.25">
      <c r="A2829" s="241"/>
      <c r="B2829" s="243"/>
      <c r="C2829" s="241"/>
      <c r="D2829" s="241"/>
      <c r="E2829" s="241"/>
    </row>
    <row r="2830" spans="1:5" customFormat="1" ht="24.95" customHeight="1" x14ac:dyDescent="0.25">
      <c r="A2830" s="241"/>
      <c r="B2830" s="243"/>
      <c r="C2830" s="241"/>
      <c r="D2830" s="241"/>
      <c r="E2830" s="241"/>
    </row>
    <row r="2831" spans="1:5" customFormat="1" ht="24.95" customHeight="1" x14ac:dyDescent="0.25">
      <c r="A2831" s="241"/>
      <c r="B2831" s="243"/>
      <c r="C2831" s="241"/>
      <c r="D2831" s="241"/>
      <c r="E2831" s="241"/>
    </row>
    <row r="2832" spans="1:5" customFormat="1" ht="24.95" customHeight="1" x14ac:dyDescent="0.25">
      <c r="A2832" s="241"/>
      <c r="B2832" s="243"/>
      <c r="C2832" s="241"/>
      <c r="D2832" s="241"/>
      <c r="E2832" s="241"/>
    </row>
    <row r="2833" spans="1:5" customFormat="1" ht="24.95" customHeight="1" x14ac:dyDescent="0.25">
      <c r="A2833" s="241"/>
      <c r="B2833" s="243"/>
      <c r="C2833" s="241"/>
      <c r="D2833" s="241"/>
      <c r="E2833" s="241"/>
    </row>
    <row r="2834" spans="1:5" customFormat="1" ht="24.95" customHeight="1" x14ac:dyDescent="0.25">
      <c r="A2834" s="241"/>
      <c r="B2834" s="243"/>
      <c r="C2834" s="241"/>
      <c r="D2834" s="241"/>
      <c r="E2834" s="241"/>
    </row>
    <row r="2835" spans="1:5" customFormat="1" ht="24.95" customHeight="1" x14ac:dyDescent="0.25">
      <c r="A2835" s="241"/>
      <c r="B2835" s="243"/>
      <c r="C2835" s="241"/>
      <c r="D2835" s="241"/>
      <c r="E2835" s="241"/>
    </row>
    <row r="2836" spans="1:5" customFormat="1" ht="24.95" customHeight="1" x14ac:dyDescent="0.25">
      <c r="A2836" s="241"/>
      <c r="B2836" s="243"/>
      <c r="C2836" s="241"/>
      <c r="D2836" s="241"/>
      <c r="E2836" s="241"/>
    </row>
    <row r="2837" spans="1:5" customFormat="1" ht="24.95" customHeight="1" x14ac:dyDescent="0.25">
      <c r="A2837" s="241"/>
      <c r="B2837" s="243"/>
      <c r="C2837" s="241"/>
      <c r="D2837" s="241"/>
      <c r="E2837" s="241"/>
    </row>
    <row r="2838" spans="1:5" customFormat="1" ht="24.95" customHeight="1" x14ac:dyDescent="0.25">
      <c r="A2838" s="241"/>
      <c r="B2838" s="243"/>
      <c r="C2838" s="241"/>
      <c r="D2838" s="241"/>
      <c r="E2838" s="241"/>
    </row>
    <row r="2839" spans="1:5" customFormat="1" ht="24.95" customHeight="1" x14ac:dyDescent="0.25">
      <c r="A2839" s="241"/>
      <c r="B2839" s="243"/>
      <c r="C2839" s="241"/>
      <c r="D2839" s="241"/>
      <c r="E2839" s="241"/>
    </row>
    <row r="2840" spans="1:5" customFormat="1" ht="24.95" customHeight="1" x14ac:dyDescent="0.25">
      <c r="A2840" s="241"/>
      <c r="B2840" s="243"/>
      <c r="C2840" s="241"/>
      <c r="D2840" s="241"/>
      <c r="E2840" s="241"/>
    </row>
    <row r="2841" spans="1:5" customFormat="1" ht="24.95" customHeight="1" x14ac:dyDescent="0.25">
      <c r="A2841" s="241"/>
      <c r="B2841" s="243"/>
      <c r="C2841" s="241"/>
      <c r="D2841" s="241"/>
      <c r="E2841" s="241"/>
    </row>
    <row r="2842" spans="1:5" customFormat="1" ht="24.95" customHeight="1" x14ac:dyDescent="0.25">
      <c r="A2842" s="241"/>
      <c r="B2842" s="243"/>
      <c r="C2842" s="241"/>
      <c r="D2842" s="241"/>
      <c r="E2842" s="241"/>
    </row>
    <row r="2843" spans="1:5" customFormat="1" ht="24.95" customHeight="1" x14ac:dyDescent="0.25">
      <c r="A2843" s="241"/>
      <c r="B2843" s="243"/>
      <c r="C2843" s="241"/>
      <c r="D2843" s="241"/>
      <c r="E2843" s="241"/>
    </row>
    <row r="2844" spans="1:5" customFormat="1" ht="24.95" customHeight="1" x14ac:dyDescent="0.25">
      <c r="A2844" s="241"/>
      <c r="B2844" s="243"/>
      <c r="C2844" s="241"/>
      <c r="D2844" s="241"/>
      <c r="E2844" s="241"/>
    </row>
    <row r="2845" spans="1:5" customFormat="1" ht="24.95" customHeight="1" x14ac:dyDescent="0.25">
      <c r="A2845" s="241"/>
      <c r="B2845" s="243"/>
      <c r="C2845" s="241"/>
      <c r="D2845" s="241"/>
      <c r="E2845" s="241"/>
    </row>
    <row r="2846" spans="1:5" customFormat="1" ht="24.95" customHeight="1" x14ac:dyDescent="0.25">
      <c r="A2846" s="241"/>
      <c r="B2846" s="243"/>
      <c r="C2846" s="241"/>
      <c r="D2846" s="241"/>
      <c r="E2846" s="241"/>
    </row>
    <row r="2847" spans="1:5" customFormat="1" ht="24.95" customHeight="1" x14ac:dyDescent="0.25">
      <c r="A2847" s="241"/>
      <c r="B2847" s="243"/>
      <c r="C2847" s="241"/>
      <c r="D2847" s="241"/>
      <c r="E2847" s="241"/>
    </row>
    <row r="2848" spans="1:5" customFormat="1" ht="24.95" customHeight="1" x14ac:dyDescent="0.25">
      <c r="A2848" s="241"/>
      <c r="B2848" s="243"/>
      <c r="C2848" s="241"/>
      <c r="D2848" s="241"/>
      <c r="E2848" s="241"/>
    </row>
    <row r="2849" spans="1:5" customFormat="1" ht="24.95" customHeight="1" x14ac:dyDescent="0.25">
      <c r="A2849" s="241"/>
      <c r="B2849" s="243"/>
      <c r="C2849" s="241"/>
      <c r="D2849" s="241"/>
      <c r="E2849" s="241"/>
    </row>
    <row r="2850" spans="1:5" customFormat="1" ht="24.95" customHeight="1" x14ac:dyDescent="0.25">
      <c r="A2850" s="241"/>
      <c r="B2850" s="243"/>
      <c r="C2850" s="241"/>
      <c r="D2850" s="241"/>
      <c r="E2850" s="241"/>
    </row>
    <row r="2851" spans="1:5" customFormat="1" ht="24.95" customHeight="1" x14ac:dyDescent="0.25">
      <c r="A2851" s="241"/>
      <c r="B2851" s="243"/>
      <c r="C2851" s="241"/>
      <c r="D2851" s="241"/>
      <c r="E2851" s="241"/>
    </row>
    <row r="2852" spans="1:5" customFormat="1" ht="24.95" customHeight="1" x14ac:dyDescent="0.25">
      <c r="A2852" s="241"/>
      <c r="B2852" s="243"/>
      <c r="C2852" s="241"/>
      <c r="D2852" s="241"/>
      <c r="E2852" s="241"/>
    </row>
    <row r="2853" spans="1:5" customFormat="1" ht="24.95" customHeight="1" x14ac:dyDescent="0.25">
      <c r="A2853" s="241"/>
      <c r="B2853" s="243"/>
      <c r="C2853" s="241"/>
      <c r="D2853" s="241"/>
      <c r="E2853" s="241"/>
    </row>
    <row r="2854" spans="1:5" customFormat="1" ht="24.95" customHeight="1" x14ac:dyDescent="0.25">
      <c r="A2854" s="241"/>
      <c r="B2854" s="243"/>
      <c r="C2854" s="241"/>
      <c r="D2854" s="241"/>
      <c r="E2854" s="241"/>
    </row>
    <row r="2855" spans="1:5" customFormat="1" ht="24.95" customHeight="1" x14ac:dyDescent="0.25">
      <c r="A2855" s="241"/>
      <c r="B2855" s="243"/>
      <c r="C2855" s="241"/>
      <c r="D2855" s="241"/>
      <c r="E2855" s="241"/>
    </row>
    <row r="2856" spans="1:5" customFormat="1" ht="24.95" customHeight="1" x14ac:dyDescent="0.25">
      <c r="A2856" s="241"/>
      <c r="B2856" s="243"/>
      <c r="C2856" s="241"/>
      <c r="D2856" s="241"/>
      <c r="E2856" s="241"/>
    </row>
    <row r="2857" spans="1:5" customFormat="1" ht="24.95" customHeight="1" x14ac:dyDescent="0.25">
      <c r="A2857" s="241"/>
      <c r="B2857" s="243"/>
      <c r="C2857" s="241"/>
      <c r="D2857" s="241"/>
      <c r="E2857" s="241"/>
    </row>
    <row r="2858" spans="1:5" customFormat="1" ht="24.95" customHeight="1" x14ac:dyDescent="0.25">
      <c r="A2858" s="241"/>
      <c r="B2858" s="243"/>
      <c r="C2858" s="241"/>
      <c r="D2858" s="241"/>
      <c r="E2858" s="241"/>
    </row>
    <row r="2859" spans="1:5" customFormat="1" ht="24.95" customHeight="1" x14ac:dyDescent="0.25">
      <c r="A2859" s="241"/>
      <c r="B2859" s="243"/>
      <c r="C2859" s="241"/>
      <c r="D2859" s="241"/>
      <c r="E2859" s="241"/>
    </row>
    <row r="2860" spans="1:5" customFormat="1" ht="24.95" customHeight="1" x14ac:dyDescent="0.25">
      <c r="A2860" s="241"/>
      <c r="B2860" s="243"/>
      <c r="C2860" s="241"/>
      <c r="D2860" s="241"/>
      <c r="E2860" s="241"/>
    </row>
    <row r="2861" spans="1:5" customFormat="1" ht="24.95" customHeight="1" x14ac:dyDescent="0.25">
      <c r="A2861" s="241"/>
      <c r="B2861" s="243"/>
      <c r="C2861" s="241"/>
      <c r="D2861" s="241"/>
      <c r="E2861" s="241"/>
    </row>
    <row r="2862" spans="1:5" customFormat="1" ht="24.95" customHeight="1" x14ac:dyDescent="0.25">
      <c r="A2862" s="241"/>
      <c r="B2862" s="243"/>
      <c r="C2862" s="241"/>
      <c r="D2862" s="241"/>
      <c r="E2862" s="241"/>
    </row>
    <row r="2863" spans="1:5" customFormat="1" ht="24.95" customHeight="1" x14ac:dyDescent="0.25">
      <c r="A2863" s="241"/>
      <c r="B2863" s="243"/>
      <c r="C2863" s="241"/>
      <c r="D2863" s="241"/>
      <c r="E2863" s="241"/>
    </row>
    <row r="2864" spans="1:5" customFormat="1" ht="24.95" customHeight="1" x14ac:dyDescent="0.25">
      <c r="A2864" s="241"/>
      <c r="B2864" s="243"/>
      <c r="C2864" s="241"/>
      <c r="D2864" s="241"/>
      <c r="E2864" s="241"/>
    </row>
    <row r="2865" spans="1:5" customFormat="1" ht="24.95" customHeight="1" x14ac:dyDescent="0.25">
      <c r="A2865" s="241"/>
      <c r="B2865" s="243"/>
      <c r="C2865" s="241"/>
      <c r="D2865" s="241"/>
      <c r="E2865" s="241"/>
    </row>
    <row r="2866" spans="1:5" customFormat="1" ht="24.95" customHeight="1" x14ac:dyDescent="0.25">
      <c r="A2866" s="241"/>
      <c r="B2866" s="243"/>
      <c r="C2866" s="241"/>
      <c r="D2866" s="241"/>
      <c r="E2866" s="241"/>
    </row>
    <row r="2867" spans="1:5" customFormat="1" ht="24.95" customHeight="1" x14ac:dyDescent="0.25">
      <c r="A2867" s="241"/>
      <c r="B2867" s="243"/>
      <c r="C2867" s="241"/>
      <c r="D2867" s="241"/>
      <c r="E2867" s="241"/>
    </row>
    <row r="2868" spans="1:5" customFormat="1" ht="24.95" customHeight="1" x14ac:dyDescent="0.25">
      <c r="A2868" s="241"/>
      <c r="B2868" s="243"/>
      <c r="C2868" s="241"/>
      <c r="D2868" s="241"/>
      <c r="E2868" s="241"/>
    </row>
    <row r="2869" spans="1:5" customFormat="1" ht="24.95" customHeight="1" x14ac:dyDescent="0.25">
      <c r="A2869" s="241"/>
      <c r="B2869" s="243"/>
      <c r="C2869" s="241"/>
      <c r="D2869" s="241"/>
      <c r="E2869" s="241"/>
    </row>
    <row r="2870" spans="1:5" customFormat="1" ht="24.95" customHeight="1" x14ac:dyDescent="0.25">
      <c r="A2870" s="241"/>
      <c r="B2870" s="243"/>
      <c r="C2870" s="241"/>
      <c r="D2870" s="241"/>
      <c r="E2870" s="241"/>
    </row>
    <row r="2871" spans="1:5" customFormat="1" ht="24.95" customHeight="1" x14ac:dyDescent="0.25">
      <c r="A2871" s="241"/>
      <c r="B2871" s="243"/>
      <c r="C2871" s="241"/>
      <c r="D2871" s="241"/>
      <c r="E2871" s="241"/>
    </row>
    <row r="2872" spans="1:5" customFormat="1" ht="24.95" customHeight="1" x14ac:dyDescent="0.25">
      <c r="A2872" s="241"/>
      <c r="B2872" s="243"/>
      <c r="C2872" s="241"/>
      <c r="D2872" s="241"/>
      <c r="E2872" s="241"/>
    </row>
    <row r="2873" spans="1:5" customFormat="1" ht="24.95" customHeight="1" x14ac:dyDescent="0.25">
      <c r="A2873" s="241"/>
      <c r="B2873" s="243"/>
      <c r="C2873" s="241"/>
      <c r="D2873" s="241"/>
      <c r="E2873" s="241"/>
    </row>
    <row r="2874" spans="1:5" customFormat="1" ht="24.95" customHeight="1" x14ac:dyDescent="0.25">
      <c r="A2874" s="241"/>
      <c r="B2874" s="243"/>
      <c r="C2874" s="241"/>
      <c r="D2874" s="241"/>
      <c r="E2874" s="241"/>
    </row>
    <row r="2875" spans="1:5" customFormat="1" ht="24.95" customHeight="1" x14ac:dyDescent="0.25">
      <c r="A2875" s="241"/>
      <c r="B2875" s="243"/>
      <c r="C2875" s="241"/>
      <c r="D2875" s="241"/>
      <c r="E2875" s="241"/>
    </row>
    <row r="2876" spans="1:5" customFormat="1" ht="24.95" customHeight="1" x14ac:dyDescent="0.25">
      <c r="A2876" s="241"/>
      <c r="B2876" s="243"/>
      <c r="C2876" s="241"/>
      <c r="D2876" s="241"/>
      <c r="E2876" s="241"/>
    </row>
    <row r="2877" spans="1:5" customFormat="1" ht="24.95" customHeight="1" x14ac:dyDescent="0.25">
      <c r="A2877" s="241"/>
      <c r="B2877" s="243"/>
      <c r="C2877" s="241"/>
      <c r="D2877" s="241"/>
      <c r="E2877" s="241"/>
    </row>
    <row r="2878" spans="1:5" customFormat="1" ht="24.95" customHeight="1" x14ac:dyDescent="0.25">
      <c r="A2878" s="241"/>
      <c r="B2878" s="243"/>
      <c r="C2878" s="241"/>
      <c r="D2878" s="241"/>
      <c r="E2878" s="241"/>
    </row>
    <row r="2879" spans="1:5" customFormat="1" ht="24.95" customHeight="1" x14ac:dyDescent="0.25">
      <c r="A2879" s="241"/>
      <c r="B2879" s="243"/>
      <c r="C2879" s="241"/>
      <c r="D2879" s="241"/>
      <c r="E2879" s="241"/>
    </row>
    <row r="2880" spans="1:5" customFormat="1" ht="24.95" customHeight="1" x14ac:dyDescent="0.25">
      <c r="A2880" s="241"/>
      <c r="B2880" s="243"/>
      <c r="C2880" s="241"/>
      <c r="D2880" s="241"/>
      <c r="E2880" s="241"/>
    </row>
    <row r="2881" spans="1:5" customFormat="1" ht="24.95" customHeight="1" x14ac:dyDescent="0.25">
      <c r="A2881" s="241"/>
      <c r="B2881" s="243"/>
      <c r="C2881" s="241"/>
      <c r="D2881" s="241"/>
      <c r="E2881" s="241"/>
    </row>
    <row r="2882" spans="1:5" customFormat="1" ht="24.95" customHeight="1" x14ac:dyDescent="0.25">
      <c r="A2882" s="241"/>
      <c r="B2882" s="243"/>
      <c r="C2882" s="241"/>
      <c r="D2882" s="241"/>
      <c r="E2882" s="241"/>
    </row>
    <row r="2883" spans="1:5" customFormat="1" ht="24.95" customHeight="1" x14ac:dyDescent="0.25">
      <c r="A2883" s="241"/>
      <c r="B2883" s="243"/>
      <c r="C2883" s="241"/>
      <c r="D2883" s="241"/>
      <c r="E2883" s="241"/>
    </row>
    <row r="2884" spans="1:5" customFormat="1" ht="24.95" customHeight="1" x14ac:dyDescent="0.25">
      <c r="A2884" s="241"/>
      <c r="B2884" s="243"/>
      <c r="C2884" s="241"/>
      <c r="D2884" s="241"/>
      <c r="E2884" s="241"/>
    </row>
    <row r="2885" spans="1:5" customFormat="1" ht="24.95" customHeight="1" x14ac:dyDescent="0.25">
      <c r="A2885" s="241"/>
      <c r="B2885" s="243"/>
      <c r="C2885" s="241"/>
      <c r="D2885" s="241"/>
      <c r="E2885" s="241"/>
    </row>
    <row r="2886" spans="1:5" customFormat="1" ht="24.95" customHeight="1" x14ac:dyDescent="0.25">
      <c r="A2886" s="241"/>
      <c r="B2886" s="243"/>
      <c r="C2886" s="241"/>
      <c r="D2886" s="241"/>
      <c r="E2886" s="241"/>
    </row>
    <row r="2887" spans="1:5" customFormat="1" ht="24.95" customHeight="1" x14ac:dyDescent="0.25">
      <c r="A2887" s="241"/>
      <c r="B2887" s="243"/>
      <c r="C2887" s="241"/>
      <c r="D2887" s="241"/>
      <c r="E2887" s="241"/>
    </row>
    <row r="2888" spans="1:5" customFormat="1" ht="24.95" customHeight="1" x14ac:dyDescent="0.25">
      <c r="A2888" s="241"/>
      <c r="B2888" s="243"/>
      <c r="C2888" s="241"/>
      <c r="D2888" s="241"/>
      <c r="E2888" s="241"/>
    </row>
    <row r="2889" spans="1:5" customFormat="1" ht="24.95" customHeight="1" x14ac:dyDescent="0.25">
      <c r="A2889" s="241"/>
      <c r="B2889" s="243"/>
      <c r="C2889" s="241"/>
      <c r="D2889" s="241"/>
      <c r="E2889" s="241"/>
    </row>
    <row r="2890" spans="1:5" customFormat="1" ht="24.95" customHeight="1" x14ac:dyDescent="0.25">
      <c r="A2890" s="241"/>
      <c r="B2890" s="243"/>
      <c r="C2890" s="241"/>
      <c r="D2890" s="241"/>
      <c r="E2890" s="241"/>
    </row>
    <row r="2891" spans="1:5" customFormat="1" ht="24.95" customHeight="1" x14ac:dyDescent="0.25">
      <c r="A2891" s="241"/>
      <c r="B2891" s="243"/>
      <c r="C2891" s="241"/>
      <c r="D2891" s="241"/>
      <c r="E2891" s="241"/>
    </row>
    <row r="2892" spans="1:5" customFormat="1" ht="24.95" customHeight="1" x14ac:dyDescent="0.25">
      <c r="A2892" s="241"/>
      <c r="B2892" s="243"/>
      <c r="C2892" s="241"/>
      <c r="D2892" s="241"/>
      <c r="E2892" s="241"/>
    </row>
    <row r="2893" spans="1:5" customFormat="1" ht="24.95" customHeight="1" x14ac:dyDescent="0.25">
      <c r="A2893" s="241"/>
      <c r="B2893" s="243"/>
      <c r="C2893" s="241"/>
      <c r="D2893" s="241"/>
      <c r="E2893" s="241"/>
    </row>
    <row r="2894" spans="1:5" customFormat="1" ht="24.95" customHeight="1" x14ac:dyDescent="0.25">
      <c r="A2894" s="241"/>
      <c r="B2894" s="243"/>
      <c r="C2894" s="241"/>
      <c r="D2894" s="241"/>
      <c r="E2894" s="241"/>
    </row>
    <row r="2895" spans="1:5" customFormat="1" ht="24.95" customHeight="1" x14ac:dyDescent="0.25">
      <c r="A2895" s="241"/>
      <c r="B2895" s="243"/>
      <c r="C2895" s="241"/>
      <c r="D2895" s="241"/>
      <c r="E2895" s="241"/>
    </row>
    <row r="2896" spans="1:5" customFormat="1" ht="24.95" customHeight="1" x14ac:dyDescent="0.25">
      <c r="A2896" s="241"/>
      <c r="B2896" s="243"/>
      <c r="C2896" s="241"/>
      <c r="D2896" s="241"/>
      <c r="E2896" s="241"/>
    </row>
    <row r="2897" spans="1:5" customFormat="1" ht="24.95" customHeight="1" x14ac:dyDescent="0.25">
      <c r="A2897" s="241"/>
      <c r="B2897" s="243"/>
      <c r="C2897" s="241"/>
      <c r="D2897" s="241"/>
      <c r="E2897" s="241"/>
    </row>
    <row r="2898" spans="1:5" customFormat="1" ht="24.95" customHeight="1" x14ac:dyDescent="0.25">
      <c r="A2898" s="241"/>
      <c r="B2898" s="243"/>
      <c r="C2898" s="241"/>
      <c r="D2898" s="241"/>
      <c r="E2898" s="241"/>
    </row>
    <row r="2899" spans="1:5" customFormat="1" ht="24.95" customHeight="1" x14ac:dyDescent="0.25">
      <c r="A2899" s="241"/>
      <c r="B2899" s="243"/>
      <c r="C2899" s="241"/>
      <c r="D2899" s="241"/>
      <c r="E2899" s="241"/>
    </row>
    <row r="2900" spans="1:5" customFormat="1" ht="24.95" customHeight="1" x14ac:dyDescent="0.25">
      <c r="A2900" s="241"/>
      <c r="B2900" s="243"/>
      <c r="C2900" s="241"/>
      <c r="D2900" s="241"/>
      <c r="E2900" s="241"/>
    </row>
    <row r="2901" spans="1:5" customFormat="1" ht="24.95" customHeight="1" x14ac:dyDescent="0.25">
      <c r="A2901" s="241"/>
      <c r="B2901" s="243"/>
      <c r="C2901" s="241"/>
      <c r="D2901" s="241"/>
      <c r="E2901" s="241"/>
    </row>
    <row r="2902" spans="1:5" customFormat="1" ht="24.95" customHeight="1" x14ac:dyDescent="0.25">
      <c r="A2902" s="241"/>
      <c r="B2902" s="243"/>
      <c r="C2902" s="241"/>
      <c r="D2902" s="241"/>
      <c r="E2902" s="241"/>
    </row>
    <row r="2903" spans="1:5" customFormat="1" ht="24.95" customHeight="1" x14ac:dyDescent="0.25">
      <c r="A2903" s="241"/>
      <c r="B2903" s="243"/>
      <c r="C2903" s="241"/>
      <c r="D2903" s="241"/>
      <c r="E2903" s="241"/>
    </row>
    <row r="2904" spans="1:5" customFormat="1" ht="24.95" customHeight="1" x14ac:dyDescent="0.25">
      <c r="A2904" s="241"/>
      <c r="B2904" s="243"/>
      <c r="C2904" s="241"/>
      <c r="D2904" s="241"/>
      <c r="E2904" s="241"/>
    </row>
    <row r="2905" spans="1:5" customFormat="1" ht="24.95" customHeight="1" x14ac:dyDescent="0.25">
      <c r="A2905" s="241"/>
      <c r="B2905" s="243"/>
      <c r="C2905" s="241"/>
      <c r="D2905" s="241"/>
      <c r="E2905" s="241"/>
    </row>
    <row r="2906" spans="1:5" customFormat="1" ht="24.95" customHeight="1" x14ac:dyDescent="0.25">
      <c r="A2906" s="241"/>
      <c r="B2906" s="243"/>
      <c r="C2906" s="241"/>
      <c r="D2906" s="241"/>
      <c r="E2906" s="241"/>
    </row>
    <row r="2907" spans="1:5" customFormat="1" ht="24.95" customHeight="1" x14ac:dyDescent="0.25">
      <c r="A2907" s="241"/>
      <c r="B2907" s="243"/>
      <c r="C2907" s="241"/>
      <c r="D2907" s="241"/>
      <c r="E2907" s="241"/>
    </row>
    <row r="2908" spans="1:5" customFormat="1" ht="24.95" customHeight="1" x14ac:dyDescent="0.25">
      <c r="A2908" s="241"/>
      <c r="B2908" s="243"/>
      <c r="C2908" s="241"/>
      <c r="D2908" s="241"/>
      <c r="E2908" s="241"/>
    </row>
    <row r="2909" spans="1:5" customFormat="1" ht="24.95" customHeight="1" x14ac:dyDescent="0.25">
      <c r="A2909" s="241"/>
      <c r="B2909" s="243"/>
      <c r="C2909" s="241"/>
      <c r="D2909" s="241"/>
      <c r="E2909" s="241"/>
    </row>
    <row r="2910" spans="1:5" customFormat="1" ht="24.95" customHeight="1" x14ac:dyDescent="0.25">
      <c r="A2910" s="241"/>
      <c r="B2910" s="243"/>
      <c r="C2910" s="241"/>
      <c r="D2910" s="241"/>
      <c r="E2910" s="241"/>
    </row>
    <row r="2911" spans="1:5" customFormat="1" ht="24.95" customHeight="1" x14ac:dyDescent="0.25">
      <c r="A2911" s="241"/>
      <c r="B2911" s="243"/>
      <c r="C2911" s="241"/>
      <c r="D2911" s="241"/>
      <c r="E2911" s="241"/>
    </row>
    <row r="2912" spans="1:5" customFormat="1" ht="24.95" customHeight="1" x14ac:dyDescent="0.25">
      <c r="A2912" s="241"/>
      <c r="B2912" s="243"/>
      <c r="C2912" s="241"/>
      <c r="D2912" s="241"/>
      <c r="E2912" s="241"/>
    </row>
    <row r="2913" spans="1:5" customFormat="1" ht="24.95" customHeight="1" x14ac:dyDescent="0.25">
      <c r="A2913" s="241"/>
      <c r="B2913" s="243"/>
      <c r="C2913" s="241"/>
      <c r="D2913" s="241"/>
      <c r="E2913" s="241"/>
    </row>
    <row r="2914" spans="1:5" customFormat="1" ht="24.95" customHeight="1" x14ac:dyDescent="0.25">
      <c r="A2914" s="241"/>
      <c r="B2914" s="243"/>
      <c r="C2914" s="241"/>
      <c r="D2914" s="241"/>
      <c r="E2914" s="241"/>
    </row>
    <row r="2915" spans="1:5" customFormat="1" ht="24.95" customHeight="1" x14ac:dyDescent="0.25">
      <c r="A2915" s="241"/>
      <c r="B2915" s="243"/>
      <c r="C2915" s="241"/>
      <c r="D2915" s="241"/>
      <c r="E2915" s="241"/>
    </row>
    <row r="2916" spans="1:5" customFormat="1" ht="24.95" customHeight="1" x14ac:dyDescent="0.25">
      <c r="A2916" s="241"/>
      <c r="B2916" s="243"/>
      <c r="C2916" s="241"/>
      <c r="D2916" s="241"/>
      <c r="E2916" s="241"/>
    </row>
    <row r="2917" spans="1:5" customFormat="1" ht="24.95" customHeight="1" x14ac:dyDescent="0.25">
      <c r="A2917" s="241"/>
      <c r="B2917" s="243"/>
      <c r="C2917" s="241"/>
      <c r="D2917" s="241"/>
      <c r="E2917" s="241"/>
    </row>
    <row r="2918" spans="1:5" customFormat="1" ht="24.95" customHeight="1" x14ac:dyDescent="0.25">
      <c r="A2918" s="241"/>
      <c r="B2918" s="243"/>
      <c r="C2918" s="241"/>
      <c r="D2918" s="241"/>
      <c r="E2918" s="241"/>
    </row>
    <row r="2919" spans="1:5" customFormat="1" ht="24.95" customHeight="1" x14ac:dyDescent="0.25">
      <c r="A2919" s="241"/>
      <c r="B2919" s="243"/>
      <c r="C2919" s="241"/>
      <c r="D2919" s="241"/>
      <c r="E2919" s="241"/>
    </row>
    <row r="2920" spans="1:5" customFormat="1" ht="24.95" customHeight="1" x14ac:dyDescent="0.25">
      <c r="A2920" s="241"/>
      <c r="B2920" s="243"/>
      <c r="C2920" s="241"/>
      <c r="D2920" s="241"/>
      <c r="E2920" s="241"/>
    </row>
    <row r="2921" spans="1:5" customFormat="1" ht="24.95" customHeight="1" x14ac:dyDescent="0.25">
      <c r="A2921" s="241"/>
      <c r="B2921" s="243"/>
      <c r="C2921" s="241"/>
      <c r="D2921" s="241"/>
      <c r="E2921" s="241"/>
    </row>
    <row r="2922" spans="1:5" customFormat="1" ht="24.95" customHeight="1" x14ac:dyDescent="0.25">
      <c r="A2922" s="241"/>
      <c r="B2922" s="243"/>
      <c r="C2922" s="241"/>
      <c r="D2922" s="241"/>
      <c r="E2922" s="241"/>
    </row>
    <row r="2923" spans="1:5" customFormat="1" ht="24.95" customHeight="1" x14ac:dyDescent="0.25">
      <c r="A2923" s="241"/>
      <c r="B2923" s="243"/>
      <c r="C2923" s="241"/>
      <c r="D2923" s="241"/>
      <c r="E2923" s="241"/>
    </row>
    <row r="2924" spans="1:5" customFormat="1" ht="24.95" customHeight="1" x14ac:dyDescent="0.25">
      <c r="A2924" s="241"/>
      <c r="B2924" s="243"/>
      <c r="C2924" s="241"/>
      <c r="D2924" s="241"/>
      <c r="E2924" s="241"/>
    </row>
    <row r="2925" spans="1:5" customFormat="1" ht="24.95" customHeight="1" x14ac:dyDescent="0.25">
      <c r="A2925" s="241"/>
      <c r="B2925" s="243"/>
      <c r="C2925" s="241"/>
      <c r="D2925" s="241"/>
      <c r="E2925" s="241"/>
    </row>
    <row r="2926" spans="1:5" customFormat="1" ht="24.95" customHeight="1" x14ac:dyDescent="0.25">
      <c r="A2926" s="241"/>
      <c r="B2926" s="243"/>
      <c r="C2926" s="241"/>
      <c r="D2926" s="241"/>
      <c r="E2926" s="241"/>
    </row>
    <row r="2927" spans="1:5" customFormat="1" ht="24.95" customHeight="1" x14ac:dyDescent="0.25">
      <c r="A2927" s="241"/>
      <c r="B2927" s="243"/>
      <c r="C2927" s="241"/>
      <c r="D2927" s="241"/>
      <c r="E2927" s="241"/>
    </row>
    <row r="2928" spans="1:5" customFormat="1" ht="24.95" customHeight="1" x14ac:dyDescent="0.25">
      <c r="A2928" s="241"/>
      <c r="B2928" s="243"/>
      <c r="C2928" s="241"/>
      <c r="D2928" s="241"/>
      <c r="E2928" s="241"/>
    </row>
    <row r="2929" spans="1:5" customFormat="1" ht="24.95" customHeight="1" x14ac:dyDescent="0.25">
      <c r="A2929" s="241"/>
      <c r="B2929" s="243"/>
      <c r="C2929" s="241"/>
      <c r="D2929" s="241"/>
      <c r="E2929" s="241"/>
    </row>
    <row r="2930" spans="1:5" customFormat="1" ht="24.95" customHeight="1" x14ac:dyDescent="0.25">
      <c r="A2930" s="241"/>
      <c r="B2930" s="243"/>
      <c r="C2930" s="241"/>
      <c r="D2930" s="241"/>
      <c r="E2930" s="241"/>
    </row>
    <row r="2931" spans="1:5" customFormat="1" ht="24.95" customHeight="1" x14ac:dyDescent="0.25">
      <c r="A2931" s="241"/>
      <c r="B2931" s="243"/>
      <c r="C2931" s="241"/>
      <c r="D2931" s="241"/>
      <c r="E2931" s="241"/>
    </row>
    <row r="2932" spans="1:5" customFormat="1" ht="24.95" customHeight="1" x14ac:dyDescent="0.25">
      <c r="A2932" s="241"/>
      <c r="B2932" s="243"/>
      <c r="C2932" s="241"/>
      <c r="D2932" s="241"/>
      <c r="E2932" s="241"/>
    </row>
    <row r="2933" spans="1:5" customFormat="1" ht="24.95" customHeight="1" x14ac:dyDescent="0.25">
      <c r="A2933" s="241"/>
      <c r="B2933" s="243"/>
      <c r="C2933" s="241"/>
      <c r="D2933" s="241"/>
      <c r="E2933" s="241"/>
    </row>
    <row r="2934" spans="1:5" customFormat="1" ht="24.95" customHeight="1" x14ac:dyDescent="0.25">
      <c r="A2934" s="241"/>
      <c r="B2934" s="243"/>
      <c r="C2934" s="241"/>
      <c r="D2934" s="241"/>
      <c r="E2934" s="241"/>
    </row>
    <row r="2935" spans="1:5" customFormat="1" ht="24.95" customHeight="1" x14ac:dyDescent="0.25">
      <c r="A2935" s="241"/>
      <c r="B2935" s="243"/>
      <c r="C2935" s="241"/>
      <c r="D2935" s="241"/>
      <c r="E2935" s="241"/>
    </row>
    <row r="2936" spans="1:5" customFormat="1" ht="24.95" customHeight="1" x14ac:dyDescent="0.25">
      <c r="A2936" s="241"/>
      <c r="B2936" s="243"/>
      <c r="C2936" s="241"/>
      <c r="D2936" s="241"/>
      <c r="E2936" s="241"/>
    </row>
    <row r="2937" spans="1:5" customFormat="1" ht="24.95" customHeight="1" x14ac:dyDescent="0.25">
      <c r="A2937" s="241"/>
      <c r="B2937" s="243"/>
      <c r="C2937" s="241"/>
      <c r="D2937" s="241"/>
      <c r="E2937" s="241"/>
    </row>
    <row r="2938" spans="1:5" customFormat="1" ht="24.95" customHeight="1" x14ac:dyDescent="0.25">
      <c r="A2938" s="241"/>
      <c r="B2938" s="243"/>
      <c r="C2938" s="241"/>
      <c r="D2938" s="241"/>
      <c r="E2938" s="241"/>
    </row>
    <row r="2939" spans="1:5" customFormat="1" ht="24.95" customHeight="1" x14ac:dyDescent="0.25">
      <c r="A2939" s="241"/>
      <c r="B2939" s="243"/>
      <c r="C2939" s="241"/>
      <c r="D2939" s="241"/>
      <c r="E2939" s="241"/>
    </row>
    <row r="2940" spans="1:5" customFormat="1" ht="24.95" customHeight="1" x14ac:dyDescent="0.25">
      <c r="A2940" s="241"/>
      <c r="B2940" s="243"/>
      <c r="C2940" s="241"/>
      <c r="D2940" s="241"/>
      <c r="E2940" s="241"/>
    </row>
    <row r="2941" spans="1:5" customFormat="1" ht="24.95" customHeight="1" x14ac:dyDescent="0.25">
      <c r="A2941" s="241"/>
      <c r="B2941" s="243"/>
      <c r="C2941" s="241"/>
      <c r="D2941" s="241"/>
      <c r="E2941" s="241"/>
    </row>
    <row r="2942" spans="1:5" customFormat="1" ht="24.95" customHeight="1" x14ac:dyDescent="0.25">
      <c r="A2942" s="241"/>
      <c r="B2942" s="243"/>
      <c r="C2942" s="241"/>
      <c r="D2942" s="241"/>
      <c r="E2942" s="241"/>
    </row>
    <row r="2943" spans="1:5" customFormat="1" ht="24.95" customHeight="1" x14ac:dyDescent="0.25">
      <c r="A2943" s="241"/>
      <c r="B2943" s="243"/>
      <c r="C2943" s="241"/>
      <c r="D2943" s="241"/>
      <c r="E2943" s="241"/>
    </row>
    <row r="2944" spans="1:5" customFormat="1" ht="24.95" customHeight="1" x14ac:dyDescent="0.25">
      <c r="A2944" s="241"/>
      <c r="B2944" s="243"/>
      <c r="C2944" s="241"/>
      <c r="D2944" s="241"/>
      <c r="E2944" s="241"/>
    </row>
    <row r="2945" spans="1:5" customFormat="1" ht="24.95" customHeight="1" x14ac:dyDescent="0.25">
      <c r="A2945" s="241"/>
      <c r="B2945" s="243"/>
      <c r="C2945" s="241"/>
      <c r="D2945" s="241"/>
      <c r="E2945" s="241"/>
    </row>
    <row r="2946" spans="1:5" customFormat="1" ht="24.95" customHeight="1" x14ac:dyDescent="0.25">
      <c r="A2946" s="241"/>
      <c r="B2946" s="243"/>
      <c r="C2946" s="241"/>
      <c r="D2946" s="241"/>
      <c r="E2946" s="241"/>
    </row>
    <row r="2947" spans="1:5" customFormat="1" ht="24.95" customHeight="1" x14ac:dyDescent="0.25">
      <c r="A2947" s="241"/>
      <c r="B2947" s="243"/>
      <c r="C2947" s="241"/>
      <c r="D2947" s="241"/>
      <c r="E2947" s="241"/>
    </row>
    <row r="2948" spans="1:5" customFormat="1" ht="24.95" customHeight="1" x14ac:dyDescent="0.25">
      <c r="A2948" s="241"/>
      <c r="B2948" s="243"/>
      <c r="C2948" s="241"/>
      <c r="D2948" s="241"/>
      <c r="E2948" s="241"/>
    </row>
    <row r="2949" spans="1:5" customFormat="1" ht="24.95" customHeight="1" x14ac:dyDescent="0.25">
      <c r="A2949" s="241"/>
      <c r="B2949" s="243"/>
      <c r="C2949" s="241"/>
      <c r="D2949" s="241"/>
      <c r="E2949" s="241"/>
    </row>
    <row r="2950" spans="1:5" customFormat="1" ht="24.95" customHeight="1" x14ac:dyDescent="0.25">
      <c r="A2950" s="241"/>
      <c r="B2950" s="243"/>
      <c r="C2950" s="241"/>
      <c r="D2950" s="241"/>
      <c r="E2950" s="241"/>
    </row>
    <row r="2951" spans="1:5" customFormat="1" ht="24.95" customHeight="1" x14ac:dyDescent="0.25">
      <c r="A2951" s="241"/>
      <c r="B2951" s="243"/>
      <c r="C2951" s="241"/>
      <c r="D2951" s="241"/>
      <c r="E2951" s="241"/>
    </row>
    <row r="2952" spans="1:5" customFormat="1" ht="24.95" customHeight="1" x14ac:dyDescent="0.25">
      <c r="A2952" s="241"/>
      <c r="B2952" s="243"/>
      <c r="C2952" s="241"/>
      <c r="D2952" s="241"/>
      <c r="E2952" s="241"/>
    </row>
    <row r="2953" spans="1:5" customFormat="1" ht="24.95" customHeight="1" x14ac:dyDescent="0.25">
      <c r="A2953" s="241"/>
      <c r="B2953" s="243"/>
      <c r="C2953" s="241"/>
      <c r="D2953" s="241"/>
      <c r="E2953" s="241"/>
    </row>
    <row r="2954" spans="1:5" customFormat="1" ht="24.95" customHeight="1" x14ac:dyDescent="0.25">
      <c r="A2954" s="241"/>
      <c r="B2954" s="243"/>
      <c r="C2954" s="241"/>
      <c r="D2954" s="241"/>
      <c r="E2954" s="241"/>
    </row>
    <row r="2955" spans="1:5" customFormat="1" ht="24.95" customHeight="1" x14ac:dyDescent="0.25">
      <c r="A2955" s="241"/>
      <c r="B2955" s="243"/>
      <c r="C2955" s="241"/>
      <c r="D2955" s="241"/>
      <c r="E2955" s="241"/>
    </row>
    <row r="2956" spans="1:5" customFormat="1" ht="24.95" customHeight="1" x14ac:dyDescent="0.25">
      <c r="A2956" s="241"/>
      <c r="B2956" s="243"/>
      <c r="C2956" s="241"/>
      <c r="D2956" s="241"/>
      <c r="E2956" s="241"/>
    </row>
    <row r="2957" spans="1:5" customFormat="1" ht="24.95" customHeight="1" x14ac:dyDescent="0.25">
      <c r="A2957" s="241"/>
      <c r="B2957" s="243"/>
      <c r="C2957" s="241"/>
      <c r="D2957" s="241"/>
      <c r="E2957" s="241"/>
    </row>
    <row r="2958" spans="1:5" customFormat="1" ht="24.95" customHeight="1" x14ac:dyDescent="0.25">
      <c r="A2958" s="241"/>
      <c r="B2958" s="243"/>
      <c r="C2958" s="241"/>
      <c r="D2958" s="241"/>
      <c r="E2958" s="241"/>
    </row>
    <row r="2959" spans="1:5" customFormat="1" ht="24.95" customHeight="1" x14ac:dyDescent="0.25">
      <c r="A2959" s="241"/>
      <c r="B2959" s="243"/>
      <c r="C2959" s="241"/>
      <c r="D2959" s="241"/>
      <c r="E2959" s="241"/>
    </row>
    <row r="2960" spans="1:5" customFormat="1" ht="24.95" customHeight="1" x14ac:dyDescent="0.25">
      <c r="A2960" s="241"/>
      <c r="B2960" s="243"/>
      <c r="C2960" s="241"/>
      <c r="D2960" s="241"/>
      <c r="E2960" s="241"/>
    </row>
    <row r="2961" spans="1:5" customFormat="1" ht="24.95" customHeight="1" x14ac:dyDescent="0.25">
      <c r="A2961" s="241"/>
      <c r="B2961" s="243"/>
      <c r="C2961" s="241"/>
      <c r="D2961" s="241"/>
      <c r="E2961" s="241"/>
    </row>
    <row r="2962" spans="1:5" customFormat="1" ht="24.95" customHeight="1" x14ac:dyDescent="0.25">
      <c r="A2962" s="241"/>
      <c r="B2962" s="243"/>
      <c r="C2962" s="241"/>
      <c r="D2962" s="241"/>
      <c r="E2962" s="241"/>
    </row>
    <row r="2963" spans="1:5" customFormat="1" ht="24.95" customHeight="1" x14ac:dyDescent="0.25">
      <c r="A2963" s="241"/>
      <c r="B2963" s="243"/>
      <c r="C2963" s="241"/>
      <c r="D2963" s="241"/>
      <c r="E2963" s="241"/>
    </row>
    <row r="2964" spans="1:5" customFormat="1" ht="24.95" customHeight="1" x14ac:dyDescent="0.25">
      <c r="A2964" s="241"/>
      <c r="B2964" s="243"/>
      <c r="C2964" s="241"/>
      <c r="D2964" s="241"/>
      <c r="E2964" s="241"/>
    </row>
    <row r="2965" spans="1:5" customFormat="1" ht="24.95" customHeight="1" x14ac:dyDescent="0.25">
      <c r="A2965" s="241"/>
      <c r="B2965" s="243"/>
      <c r="C2965" s="241"/>
      <c r="D2965" s="241"/>
      <c r="E2965" s="241"/>
    </row>
    <row r="2966" spans="1:5" customFormat="1" ht="24.95" customHeight="1" x14ac:dyDescent="0.25">
      <c r="A2966" s="241"/>
      <c r="B2966" s="243"/>
      <c r="C2966" s="241"/>
      <c r="D2966" s="241"/>
      <c r="E2966" s="241"/>
    </row>
    <row r="2967" spans="1:5" customFormat="1" ht="24.95" customHeight="1" x14ac:dyDescent="0.25">
      <c r="A2967" s="241"/>
      <c r="B2967" s="243"/>
      <c r="C2967" s="241"/>
      <c r="D2967" s="241"/>
      <c r="E2967" s="241"/>
    </row>
    <row r="2968" spans="1:5" customFormat="1" ht="24.95" customHeight="1" x14ac:dyDescent="0.25">
      <c r="A2968" s="241"/>
      <c r="B2968" s="243"/>
      <c r="C2968" s="241"/>
      <c r="D2968" s="241"/>
      <c r="E2968" s="241"/>
    </row>
    <row r="2969" spans="1:5" customFormat="1" ht="24.95" customHeight="1" x14ac:dyDescent="0.25">
      <c r="A2969" s="241"/>
      <c r="B2969" s="243"/>
      <c r="C2969" s="241"/>
      <c r="D2969" s="241"/>
      <c r="E2969" s="241"/>
    </row>
    <row r="2970" spans="1:5" customFormat="1" ht="24.95" customHeight="1" x14ac:dyDescent="0.25">
      <c r="A2970" s="241"/>
      <c r="B2970" s="243"/>
      <c r="C2970" s="241"/>
      <c r="D2970" s="241"/>
      <c r="E2970" s="241"/>
    </row>
    <row r="2971" spans="1:5" customFormat="1" ht="24.95" customHeight="1" x14ac:dyDescent="0.25">
      <c r="A2971" s="241"/>
      <c r="B2971" s="243"/>
      <c r="C2971" s="241"/>
      <c r="D2971" s="241"/>
      <c r="E2971" s="241"/>
    </row>
    <row r="2972" spans="1:5" customFormat="1" ht="24.95" customHeight="1" x14ac:dyDescent="0.25">
      <c r="A2972" s="241"/>
      <c r="B2972" s="243"/>
      <c r="C2972" s="241"/>
      <c r="D2972" s="241"/>
      <c r="E2972" s="241"/>
    </row>
    <row r="2973" spans="1:5" customFormat="1" ht="24.95" customHeight="1" x14ac:dyDescent="0.25">
      <c r="A2973" s="241"/>
      <c r="B2973" s="243"/>
      <c r="C2973" s="241"/>
      <c r="D2973" s="241"/>
      <c r="E2973" s="241"/>
    </row>
    <row r="2974" spans="1:5" customFormat="1" ht="24.95" customHeight="1" x14ac:dyDescent="0.25">
      <c r="A2974" s="241"/>
      <c r="B2974" s="243"/>
      <c r="C2974" s="241"/>
      <c r="D2974" s="241"/>
      <c r="E2974" s="241"/>
    </row>
    <row r="2975" spans="1:5" customFormat="1" ht="24.95" customHeight="1" x14ac:dyDescent="0.25">
      <c r="A2975" s="241"/>
      <c r="B2975" s="243"/>
      <c r="C2975" s="241"/>
      <c r="D2975" s="241"/>
      <c r="E2975" s="241"/>
    </row>
    <row r="2976" spans="1:5" customFormat="1" ht="24.95" customHeight="1" x14ac:dyDescent="0.25">
      <c r="A2976" s="241"/>
      <c r="B2976" s="243"/>
      <c r="C2976" s="241"/>
      <c r="D2976" s="241"/>
      <c r="E2976" s="241"/>
    </row>
    <row r="2977" spans="1:5" customFormat="1" ht="24.95" customHeight="1" x14ac:dyDescent="0.25">
      <c r="A2977" s="241"/>
      <c r="B2977" s="243"/>
      <c r="C2977" s="241"/>
      <c r="D2977" s="241"/>
      <c r="E2977" s="241"/>
    </row>
    <row r="2978" spans="1:5" customFormat="1" ht="24.95" customHeight="1" x14ac:dyDescent="0.25">
      <c r="A2978" s="241"/>
      <c r="B2978" s="243"/>
      <c r="C2978" s="241"/>
      <c r="D2978" s="241"/>
      <c r="E2978" s="241"/>
    </row>
    <row r="2979" spans="1:5" customFormat="1" ht="24.95" customHeight="1" x14ac:dyDescent="0.25">
      <c r="A2979" s="241"/>
      <c r="B2979" s="243"/>
      <c r="C2979" s="241"/>
      <c r="D2979" s="241"/>
      <c r="E2979" s="241"/>
    </row>
    <row r="2980" spans="1:5" customFormat="1" ht="24.95" customHeight="1" x14ac:dyDescent="0.25">
      <c r="A2980" s="241"/>
      <c r="B2980" s="243"/>
      <c r="C2980" s="241"/>
      <c r="D2980" s="241"/>
      <c r="E2980" s="241"/>
    </row>
    <row r="2981" spans="1:5" customFormat="1" ht="24.95" customHeight="1" x14ac:dyDescent="0.25">
      <c r="A2981" s="241"/>
      <c r="B2981" s="243"/>
      <c r="C2981" s="241"/>
      <c r="D2981" s="241"/>
      <c r="E2981" s="241"/>
    </row>
    <row r="2982" spans="1:5" customFormat="1" ht="24.95" customHeight="1" x14ac:dyDescent="0.25">
      <c r="A2982" s="241"/>
      <c r="B2982" s="243"/>
      <c r="C2982" s="241"/>
      <c r="D2982" s="241"/>
      <c r="E2982" s="241"/>
    </row>
    <row r="2983" spans="1:5" customFormat="1" ht="24.95" customHeight="1" x14ac:dyDescent="0.25">
      <c r="A2983" s="241"/>
      <c r="B2983" s="243"/>
      <c r="C2983" s="241"/>
      <c r="D2983" s="241"/>
      <c r="E2983" s="241"/>
    </row>
    <row r="2984" spans="1:5" customFormat="1" ht="24.95" customHeight="1" x14ac:dyDescent="0.25">
      <c r="A2984" s="241"/>
      <c r="B2984" s="243"/>
      <c r="C2984" s="241"/>
      <c r="D2984" s="241"/>
      <c r="E2984" s="241"/>
    </row>
    <row r="2985" spans="1:5" customFormat="1" ht="24.95" customHeight="1" x14ac:dyDescent="0.25">
      <c r="A2985" s="241"/>
      <c r="B2985" s="243"/>
      <c r="C2985" s="241"/>
      <c r="D2985" s="241"/>
      <c r="E2985" s="241"/>
    </row>
    <row r="2986" spans="1:5" customFormat="1" ht="24.95" customHeight="1" x14ac:dyDescent="0.25">
      <c r="A2986" s="241"/>
      <c r="B2986" s="243"/>
      <c r="C2986" s="241"/>
      <c r="D2986" s="241"/>
      <c r="E2986" s="241"/>
    </row>
    <row r="2987" spans="1:5" customFormat="1" ht="24.95" customHeight="1" x14ac:dyDescent="0.25">
      <c r="A2987" s="241"/>
      <c r="B2987" s="243"/>
      <c r="C2987" s="241"/>
      <c r="D2987" s="241"/>
      <c r="E2987" s="241"/>
    </row>
    <row r="2988" spans="1:5" customFormat="1" ht="24.95" customHeight="1" x14ac:dyDescent="0.25">
      <c r="A2988" s="241"/>
      <c r="B2988" s="243"/>
      <c r="C2988" s="241"/>
      <c r="D2988" s="241"/>
      <c r="E2988" s="241"/>
    </row>
    <row r="2989" spans="1:5" customFormat="1" ht="24.95" customHeight="1" x14ac:dyDescent="0.25">
      <c r="A2989" s="241"/>
      <c r="B2989" s="243"/>
      <c r="C2989" s="241"/>
      <c r="D2989" s="241"/>
      <c r="E2989" s="241"/>
    </row>
    <row r="2990" spans="1:5" customFormat="1" ht="24.95" customHeight="1" x14ac:dyDescent="0.25">
      <c r="A2990" s="241"/>
      <c r="B2990" s="243"/>
      <c r="C2990" s="241"/>
      <c r="D2990" s="241"/>
      <c r="E2990" s="241"/>
    </row>
    <row r="2991" spans="1:5" customFormat="1" ht="24.95" customHeight="1" x14ac:dyDescent="0.25">
      <c r="A2991" s="241"/>
      <c r="B2991" s="243"/>
      <c r="C2991" s="241"/>
      <c r="D2991" s="241"/>
      <c r="E2991" s="241"/>
    </row>
    <row r="2992" spans="1:5" customFormat="1" ht="24.95" customHeight="1" x14ac:dyDescent="0.25">
      <c r="A2992" s="241"/>
      <c r="B2992" s="243"/>
      <c r="C2992" s="241"/>
      <c r="D2992" s="241"/>
      <c r="E2992" s="241"/>
    </row>
    <row r="2993" spans="1:5" customFormat="1" ht="24.95" customHeight="1" x14ac:dyDescent="0.25">
      <c r="A2993" s="241"/>
      <c r="B2993" s="243"/>
      <c r="C2993" s="241"/>
      <c r="D2993" s="241"/>
      <c r="E2993" s="241"/>
    </row>
    <row r="2994" spans="1:5" customFormat="1" ht="24.95" customHeight="1" x14ac:dyDescent="0.25">
      <c r="A2994" s="241"/>
      <c r="B2994" s="243"/>
      <c r="C2994" s="241"/>
      <c r="D2994" s="241"/>
      <c r="E2994" s="241"/>
    </row>
    <row r="2995" spans="1:5" customFormat="1" ht="24.95" customHeight="1" x14ac:dyDescent="0.25">
      <c r="A2995" s="241"/>
      <c r="B2995" s="243"/>
      <c r="C2995" s="241"/>
      <c r="D2995" s="241"/>
      <c r="E2995" s="241"/>
    </row>
    <row r="2996" spans="1:5" customFormat="1" ht="24.95" customHeight="1" x14ac:dyDescent="0.25">
      <c r="A2996" s="241"/>
      <c r="B2996" s="243"/>
      <c r="C2996" s="241"/>
      <c r="D2996" s="241"/>
      <c r="E2996" s="241"/>
    </row>
    <row r="2997" spans="1:5" customFormat="1" ht="24.95" customHeight="1" x14ac:dyDescent="0.25">
      <c r="A2997" s="241"/>
      <c r="B2997" s="243"/>
      <c r="C2997" s="241"/>
      <c r="D2997" s="241"/>
      <c r="E2997" s="241"/>
    </row>
    <row r="2998" spans="1:5" customFormat="1" ht="24.95" customHeight="1" x14ac:dyDescent="0.25">
      <c r="A2998" s="241"/>
      <c r="B2998" s="243"/>
      <c r="C2998" s="241"/>
      <c r="D2998" s="241"/>
      <c r="E2998" s="241"/>
    </row>
    <row r="2999" spans="1:5" customFormat="1" ht="24.95" customHeight="1" x14ac:dyDescent="0.25">
      <c r="A2999" s="241"/>
      <c r="B2999" s="243"/>
      <c r="C2999" s="241"/>
      <c r="D2999" s="241"/>
      <c r="E2999" s="241"/>
    </row>
    <row r="3000" spans="1:5" customFormat="1" ht="24.95" customHeight="1" x14ac:dyDescent="0.25">
      <c r="A3000" s="241"/>
      <c r="B3000" s="243"/>
      <c r="C3000" s="241"/>
      <c r="D3000" s="241"/>
      <c r="E3000" s="241"/>
    </row>
    <row r="3001" spans="1:5" customFormat="1" ht="24.95" customHeight="1" x14ac:dyDescent="0.25">
      <c r="A3001" s="241"/>
      <c r="B3001" s="243"/>
      <c r="C3001" s="241"/>
      <c r="D3001" s="241"/>
      <c r="E3001" s="241"/>
    </row>
    <row r="3002" spans="1:5" customFormat="1" ht="24.95" customHeight="1" x14ac:dyDescent="0.25">
      <c r="A3002" s="241"/>
      <c r="B3002" s="243"/>
      <c r="C3002" s="241"/>
      <c r="D3002" s="241"/>
      <c r="E3002" s="241"/>
    </row>
    <row r="3003" spans="1:5" customFormat="1" ht="24.95" customHeight="1" x14ac:dyDescent="0.25">
      <c r="A3003" s="241"/>
      <c r="B3003" s="243"/>
      <c r="C3003" s="241"/>
      <c r="D3003" s="241"/>
      <c r="E3003" s="241"/>
    </row>
    <row r="3004" spans="1:5" customFormat="1" ht="24.95" customHeight="1" x14ac:dyDescent="0.25">
      <c r="A3004" s="241"/>
      <c r="B3004" s="243"/>
      <c r="C3004" s="241"/>
      <c r="D3004" s="241"/>
      <c r="E3004" s="241"/>
    </row>
    <row r="3005" spans="1:5" customFormat="1" ht="24.95" customHeight="1" x14ac:dyDescent="0.25">
      <c r="A3005" s="241"/>
      <c r="B3005" s="243"/>
      <c r="C3005" s="241"/>
      <c r="D3005" s="241"/>
      <c r="E3005" s="241"/>
    </row>
    <row r="3006" spans="1:5" customFormat="1" ht="24.95" customHeight="1" x14ac:dyDescent="0.25">
      <c r="A3006" s="241"/>
      <c r="B3006" s="243"/>
      <c r="C3006" s="241"/>
      <c r="D3006" s="241"/>
      <c r="E3006" s="241"/>
    </row>
    <row r="3007" spans="1:5" customFormat="1" ht="24.95" customHeight="1" x14ac:dyDescent="0.25">
      <c r="A3007" s="241"/>
      <c r="B3007" s="243"/>
      <c r="C3007" s="241"/>
      <c r="D3007" s="241"/>
      <c r="E3007" s="241"/>
    </row>
    <row r="3008" spans="1:5" customFormat="1" ht="24.95" customHeight="1" x14ac:dyDescent="0.25">
      <c r="A3008" s="241"/>
      <c r="B3008" s="243"/>
      <c r="C3008" s="241"/>
      <c r="D3008" s="241"/>
      <c r="E3008" s="241"/>
    </row>
    <row r="3009" spans="1:5" customFormat="1" ht="24.95" customHeight="1" x14ac:dyDescent="0.25">
      <c r="A3009" s="241"/>
      <c r="B3009" s="243"/>
      <c r="C3009" s="241"/>
      <c r="D3009" s="241"/>
      <c r="E3009" s="241"/>
    </row>
    <row r="3010" spans="1:5" customFormat="1" ht="24.95" customHeight="1" x14ac:dyDescent="0.25">
      <c r="A3010" s="241"/>
      <c r="B3010" s="243"/>
      <c r="C3010" s="241"/>
      <c r="D3010" s="241"/>
      <c r="E3010" s="241"/>
    </row>
    <row r="3011" spans="1:5" customFormat="1" ht="24.95" customHeight="1" x14ac:dyDescent="0.25">
      <c r="A3011" s="241"/>
      <c r="B3011" s="243"/>
      <c r="C3011" s="241"/>
      <c r="D3011" s="241"/>
      <c r="E3011" s="241"/>
    </row>
    <row r="3012" spans="1:5" customFormat="1" ht="24.95" customHeight="1" x14ac:dyDescent="0.25">
      <c r="A3012" s="241"/>
      <c r="B3012" s="243"/>
      <c r="C3012" s="241"/>
      <c r="D3012" s="241"/>
      <c r="E3012" s="241"/>
    </row>
    <row r="3013" spans="1:5" customFormat="1" ht="24.95" customHeight="1" x14ac:dyDescent="0.25">
      <c r="A3013" s="241"/>
      <c r="B3013" s="243"/>
      <c r="C3013" s="241"/>
      <c r="D3013" s="241"/>
      <c r="E3013" s="241"/>
    </row>
    <row r="3014" spans="1:5" customFormat="1" ht="24.95" customHeight="1" x14ac:dyDescent="0.25">
      <c r="A3014" s="241"/>
      <c r="B3014" s="243"/>
      <c r="C3014" s="241"/>
      <c r="D3014" s="241"/>
      <c r="E3014" s="241"/>
    </row>
    <row r="3015" spans="1:5" customFormat="1" ht="24.95" customHeight="1" x14ac:dyDescent="0.25">
      <c r="A3015" s="241"/>
      <c r="B3015" s="243"/>
      <c r="C3015" s="241"/>
      <c r="D3015" s="241"/>
      <c r="E3015" s="241"/>
    </row>
    <row r="3016" spans="1:5" customFormat="1" ht="24.95" customHeight="1" x14ac:dyDescent="0.25">
      <c r="A3016" s="241"/>
      <c r="B3016" s="243"/>
      <c r="C3016" s="241"/>
      <c r="D3016" s="241"/>
      <c r="E3016" s="241"/>
    </row>
    <row r="3017" spans="1:5" customFormat="1" ht="24.95" customHeight="1" x14ac:dyDescent="0.25">
      <c r="A3017" s="241"/>
      <c r="B3017" s="243"/>
      <c r="C3017" s="241"/>
      <c r="D3017" s="241"/>
      <c r="E3017" s="241"/>
    </row>
    <row r="3018" spans="1:5" customFormat="1" ht="24.95" customHeight="1" x14ac:dyDescent="0.25">
      <c r="A3018" s="241"/>
      <c r="B3018" s="243"/>
      <c r="C3018" s="241"/>
      <c r="D3018" s="241"/>
      <c r="E3018" s="241"/>
    </row>
    <row r="3019" spans="1:5" customFormat="1" ht="24.95" customHeight="1" x14ac:dyDescent="0.25">
      <c r="A3019" s="241"/>
      <c r="B3019" s="243"/>
      <c r="C3019" s="241"/>
      <c r="D3019" s="241"/>
      <c r="E3019" s="241"/>
    </row>
    <row r="3020" spans="1:5" customFormat="1" ht="24.95" customHeight="1" x14ac:dyDescent="0.25">
      <c r="A3020" s="241"/>
      <c r="B3020" s="243"/>
      <c r="C3020" s="241"/>
      <c r="D3020" s="241"/>
      <c r="E3020" s="241"/>
    </row>
    <row r="3021" spans="1:5" customFormat="1" ht="24.95" customHeight="1" x14ac:dyDescent="0.25">
      <c r="A3021" s="241"/>
      <c r="B3021" s="243"/>
      <c r="C3021" s="241"/>
      <c r="D3021" s="241"/>
      <c r="E3021" s="241"/>
    </row>
    <row r="3022" spans="1:5" customFormat="1" ht="24.95" customHeight="1" x14ac:dyDescent="0.25">
      <c r="A3022" s="241"/>
      <c r="B3022" s="243"/>
      <c r="C3022" s="241"/>
      <c r="D3022" s="241"/>
      <c r="E3022" s="241"/>
    </row>
    <row r="3023" spans="1:5" customFormat="1" ht="24.95" customHeight="1" x14ac:dyDescent="0.25">
      <c r="A3023" s="241"/>
      <c r="B3023" s="243"/>
      <c r="C3023" s="241"/>
      <c r="D3023" s="241"/>
      <c r="E3023" s="241"/>
    </row>
    <row r="3024" spans="1:5" customFormat="1" ht="24.95" customHeight="1" x14ac:dyDescent="0.25">
      <c r="A3024" s="241"/>
      <c r="B3024" s="243"/>
      <c r="C3024" s="241"/>
      <c r="D3024" s="241"/>
      <c r="E3024" s="241"/>
    </row>
    <row r="3025" spans="1:5" customFormat="1" ht="24.95" customHeight="1" x14ac:dyDescent="0.25">
      <c r="A3025" s="241"/>
      <c r="B3025" s="243"/>
      <c r="C3025" s="241"/>
      <c r="D3025" s="241"/>
      <c r="E3025" s="241"/>
    </row>
    <row r="3026" spans="1:5" customFormat="1" ht="24.95" customHeight="1" x14ac:dyDescent="0.25">
      <c r="A3026" s="241"/>
      <c r="B3026" s="243"/>
      <c r="C3026" s="241"/>
      <c r="D3026" s="241"/>
      <c r="E3026" s="241"/>
    </row>
    <row r="3027" spans="1:5" customFormat="1" ht="24.95" customHeight="1" x14ac:dyDescent="0.25">
      <c r="A3027" s="241"/>
      <c r="B3027" s="243"/>
      <c r="C3027" s="241"/>
      <c r="D3027" s="241"/>
      <c r="E3027" s="241"/>
    </row>
    <row r="3028" spans="1:5" customFormat="1" ht="24.95" customHeight="1" x14ac:dyDescent="0.25">
      <c r="A3028" s="241"/>
      <c r="B3028" s="243"/>
      <c r="C3028" s="241"/>
      <c r="D3028" s="241"/>
      <c r="E3028" s="241"/>
    </row>
    <row r="3029" spans="1:5" customFormat="1" ht="24.95" customHeight="1" x14ac:dyDescent="0.25">
      <c r="A3029" s="241"/>
      <c r="B3029" s="243"/>
      <c r="C3029" s="241"/>
      <c r="D3029" s="241"/>
      <c r="E3029" s="241"/>
    </row>
    <row r="3030" spans="1:5" customFormat="1" ht="24.95" customHeight="1" x14ac:dyDescent="0.25">
      <c r="A3030" s="241"/>
      <c r="B3030" s="243"/>
      <c r="C3030" s="241"/>
      <c r="D3030" s="241"/>
      <c r="E3030" s="241"/>
    </row>
    <row r="3031" spans="1:5" customFormat="1" ht="24.95" customHeight="1" x14ac:dyDescent="0.25">
      <c r="A3031" s="241"/>
      <c r="B3031" s="243"/>
      <c r="C3031" s="241"/>
      <c r="D3031" s="241"/>
      <c r="E3031" s="241"/>
    </row>
    <row r="3032" spans="1:5" customFormat="1" ht="24.95" customHeight="1" x14ac:dyDescent="0.25">
      <c r="A3032" s="241"/>
      <c r="B3032" s="243"/>
      <c r="C3032" s="241"/>
      <c r="D3032" s="241"/>
      <c r="E3032" s="241"/>
    </row>
    <row r="3033" spans="1:5" customFormat="1" ht="24.95" customHeight="1" x14ac:dyDescent="0.25">
      <c r="A3033" s="241"/>
      <c r="B3033" s="243"/>
      <c r="C3033" s="241"/>
      <c r="D3033" s="241"/>
      <c r="E3033" s="241"/>
    </row>
    <row r="3034" spans="1:5" customFormat="1" ht="24.95" customHeight="1" x14ac:dyDescent="0.25">
      <c r="A3034" s="241"/>
      <c r="B3034" s="243"/>
      <c r="C3034" s="241"/>
      <c r="D3034" s="241"/>
      <c r="E3034" s="241"/>
    </row>
    <row r="3035" spans="1:5" customFormat="1" ht="24.95" customHeight="1" x14ac:dyDescent="0.25">
      <c r="A3035" s="241"/>
      <c r="B3035" s="243"/>
      <c r="C3035" s="241"/>
      <c r="D3035" s="241"/>
      <c r="E3035" s="241"/>
    </row>
    <row r="3036" spans="1:5" customFormat="1" ht="24.95" customHeight="1" x14ac:dyDescent="0.25">
      <c r="A3036" s="241"/>
      <c r="B3036" s="243"/>
      <c r="C3036" s="241"/>
      <c r="D3036" s="241"/>
      <c r="E3036" s="241"/>
    </row>
    <row r="3037" spans="1:5" customFormat="1" ht="24.95" customHeight="1" x14ac:dyDescent="0.25">
      <c r="A3037" s="241"/>
      <c r="B3037" s="243"/>
      <c r="C3037" s="241"/>
      <c r="D3037" s="241"/>
      <c r="E3037" s="241"/>
    </row>
    <row r="3038" spans="1:5" customFormat="1" ht="24.95" customHeight="1" x14ac:dyDescent="0.25">
      <c r="A3038" s="241"/>
      <c r="B3038" s="243"/>
      <c r="C3038" s="241"/>
      <c r="D3038" s="241"/>
      <c r="E3038" s="241"/>
    </row>
    <row r="3039" spans="1:5" customFormat="1" ht="24.95" customHeight="1" x14ac:dyDescent="0.25">
      <c r="A3039" s="241"/>
      <c r="B3039" s="243"/>
      <c r="C3039" s="241"/>
      <c r="D3039" s="241"/>
      <c r="E3039" s="241"/>
    </row>
    <row r="3040" spans="1:5" customFormat="1" ht="24.95" customHeight="1" x14ac:dyDescent="0.25">
      <c r="A3040" s="241"/>
      <c r="B3040" s="243"/>
      <c r="C3040" s="241"/>
      <c r="D3040" s="241"/>
      <c r="E3040" s="241"/>
    </row>
    <row r="3041" spans="1:5" customFormat="1" ht="24.95" customHeight="1" x14ac:dyDescent="0.25">
      <c r="A3041" s="241"/>
      <c r="B3041" s="243"/>
      <c r="C3041" s="241"/>
      <c r="D3041" s="241"/>
      <c r="E3041" s="241"/>
    </row>
    <row r="3042" spans="1:5" customFormat="1" ht="24.95" customHeight="1" x14ac:dyDescent="0.25">
      <c r="A3042" s="241"/>
      <c r="B3042" s="243"/>
      <c r="C3042" s="241"/>
      <c r="D3042" s="241"/>
      <c r="E3042" s="241"/>
    </row>
    <row r="3043" spans="1:5" customFormat="1" ht="24.95" customHeight="1" x14ac:dyDescent="0.25">
      <c r="A3043" s="241"/>
      <c r="B3043" s="243"/>
      <c r="C3043" s="241"/>
      <c r="D3043" s="241"/>
      <c r="E3043" s="241"/>
    </row>
    <row r="3044" spans="1:5" customFormat="1" ht="24.95" customHeight="1" x14ac:dyDescent="0.25">
      <c r="A3044" s="241"/>
      <c r="B3044" s="243"/>
      <c r="C3044" s="241"/>
      <c r="D3044" s="241"/>
      <c r="E3044" s="241"/>
    </row>
    <row r="3045" spans="1:5" customFormat="1" ht="24.95" customHeight="1" x14ac:dyDescent="0.25">
      <c r="A3045" s="241"/>
      <c r="B3045" s="243"/>
      <c r="C3045" s="241"/>
      <c r="D3045" s="241"/>
      <c r="E3045" s="241"/>
    </row>
    <row r="3046" spans="1:5" customFormat="1" ht="24.95" customHeight="1" x14ac:dyDescent="0.25">
      <c r="A3046" s="241"/>
      <c r="B3046" s="243"/>
      <c r="C3046" s="241"/>
      <c r="D3046" s="241"/>
      <c r="E3046" s="241"/>
    </row>
    <row r="3047" spans="1:5" customFormat="1" ht="24.95" customHeight="1" x14ac:dyDescent="0.25">
      <c r="A3047" s="241"/>
      <c r="B3047" s="243"/>
      <c r="C3047" s="241"/>
      <c r="D3047" s="241"/>
      <c r="E3047" s="241"/>
    </row>
    <row r="3048" spans="1:5" customFormat="1" ht="24.95" customHeight="1" x14ac:dyDescent="0.25">
      <c r="A3048" s="241"/>
      <c r="B3048" s="243"/>
      <c r="C3048" s="241"/>
      <c r="D3048" s="241"/>
      <c r="E3048" s="241"/>
    </row>
    <row r="3049" spans="1:5" customFormat="1" ht="24.95" customHeight="1" x14ac:dyDescent="0.25">
      <c r="A3049" s="241"/>
      <c r="B3049" s="243"/>
      <c r="C3049" s="241"/>
      <c r="D3049" s="241"/>
      <c r="E3049" s="241"/>
    </row>
    <row r="3050" spans="1:5" customFormat="1" ht="24.95" customHeight="1" x14ac:dyDescent="0.25">
      <c r="A3050" s="241"/>
      <c r="B3050" s="243"/>
      <c r="C3050" s="241"/>
      <c r="D3050" s="241"/>
      <c r="E3050" s="241"/>
    </row>
    <row r="3051" spans="1:5" customFormat="1" ht="24.95" customHeight="1" x14ac:dyDescent="0.25">
      <c r="A3051" s="241"/>
      <c r="B3051" s="243"/>
      <c r="C3051" s="241"/>
      <c r="D3051" s="241"/>
      <c r="E3051" s="241"/>
    </row>
    <row r="3052" spans="1:5" customFormat="1" ht="24.95" customHeight="1" x14ac:dyDescent="0.25">
      <c r="A3052" s="241"/>
      <c r="B3052" s="243"/>
      <c r="C3052" s="241"/>
      <c r="D3052" s="241"/>
      <c r="E3052" s="241"/>
    </row>
    <row r="3053" spans="1:5" customFormat="1" ht="24.95" customHeight="1" x14ac:dyDescent="0.25">
      <c r="A3053" s="241"/>
      <c r="B3053" s="243"/>
      <c r="C3053" s="241"/>
      <c r="D3053" s="241"/>
      <c r="E3053" s="241"/>
    </row>
    <row r="3054" spans="1:5" customFormat="1" ht="24.95" customHeight="1" x14ac:dyDescent="0.25">
      <c r="A3054" s="241"/>
      <c r="B3054" s="243"/>
      <c r="C3054" s="241"/>
      <c r="D3054" s="241"/>
      <c r="E3054" s="241"/>
    </row>
    <row r="3055" spans="1:5" customFormat="1" ht="24.95" customHeight="1" x14ac:dyDescent="0.25">
      <c r="A3055" s="241"/>
      <c r="B3055" s="243"/>
      <c r="C3055" s="241"/>
      <c r="D3055" s="241"/>
      <c r="E3055" s="241"/>
    </row>
    <row r="3056" spans="1:5" customFormat="1" ht="24.95" customHeight="1" x14ac:dyDescent="0.25">
      <c r="A3056" s="241"/>
      <c r="B3056" s="243"/>
      <c r="C3056" s="241"/>
      <c r="D3056" s="241"/>
      <c r="E3056" s="241"/>
    </row>
    <row r="3057" spans="1:5" customFormat="1" ht="24.95" customHeight="1" x14ac:dyDescent="0.25">
      <c r="A3057" s="241"/>
      <c r="B3057" s="243"/>
      <c r="C3057" s="241"/>
      <c r="D3057" s="241"/>
      <c r="E3057" s="241"/>
    </row>
    <row r="3058" spans="1:5" customFormat="1" ht="24.95" customHeight="1" x14ac:dyDescent="0.25">
      <c r="A3058" s="241"/>
      <c r="B3058" s="243"/>
      <c r="C3058" s="241"/>
      <c r="D3058" s="241"/>
      <c r="E3058" s="241"/>
    </row>
    <row r="3059" spans="1:5" customFormat="1" ht="24.95" customHeight="1" x14ac:dyDescent="0.25">
      <c r="A3059" s="241"/>
      <c r="B3059" s="243"/>
      <c r="C3059" s="241"/>
      <c r="D3059" s="241"/>
      <c r="E3059" s="241"/>
    </row>
    <row r="3060" spans="1:5" customFormat="1" ht="24.95" customHeight="1" x14ac:dyDescent="0.25">
      <c r="A3060" s="241"/>
      <c r="B3060" s="243"/>
      <c r="C3060" s="241"/>
      <c r="D3060" s="241"/>
      <c r="E3060" s="241"/>
    </row>
    <row r="3061" spans="1:5" customFormat="1" ht="24.95" customHeight="1" x14ac:dyDescent="0.25">
      <c r="A3061" s="241"/>
      <c r="B3061" s="243"/>
      <c r="C3061" s="241"/>
      <c r="D3061" s="241"/>
      <c r="E3061" s="241"/>
    </row>
    <row r="3062" spans="1:5" customFormat="1" ht="24.95" customHeight="1" x14ac:dyDescent="0.25">
      <c r="A3062" s="241"/>
      <c r="B3062" s="243"/>
      <c r="C3062" s="241"/>
      <c r="D3062" s="241"/>
      <c r="E3062" s="241"/>
    </row>
    <row r="3063" spans="1:5" customFormat="1" ht="24.95" customHeight="1" x14ac:dyDescent="0.25">
      <c r="A3063" s="241"/>
      <c r="B3063" s="243"/>
      <c r="C3063" s="241"/>
      <c r="D3063" s="241"/>
      <c r="E3063" s="241"/>
    </row>
    <row r="3064" spans="1:5" customFormat="1" ht="24.95" customHeight="1" x14ac:dyDescent="0.25">
      <c r="A3064" s="241"/>
      <c r="B3064" s="243"/>
      <c r="C3064" s="241"/>
      <c r="D3064" s="241"/>
      <c r="E3064" s="241"/>
    </row>
    <row r="3065" spans="1:5" customFormat="1" ht="24.95" customHeight="1" x14ac:dyDescent="0.25">
      <c r="A3065" s="241"/>
      <c r="B3065" s="243"/>
      <c r="C3065" s="241"/>
      <c r="D3065" s="241"/>
      <c r="E3065" s="241"/>
    </row>
    <row r="3066" spans="1:5" customFormat="1" ht="24.95" customHeight="1" x14ac:dyDescent="0.25">
      <c r="A3066" s="241"/>
      <c r="B3066" s="243"/>
      <c r="C3066" s="241"/>
      <c r="D3066" s="241"/>
      <c r="E3066" s="241"/>
    </row>
    <row r="3067" spans="1:5" customFormat="1" ht="24.95" customHeight="1" x14ac:dyDescent="0.25">
      <c r="A3067" s="241"/>
      <c r="B3067" s="243"/>
      <c r="C3067" s="241"/>
      <c r="D3067" s="241"/>
      <c r="E3067" s="241"/>
    </row>
    <row r="3068" spans="1:5" customFormat="1" ht="24.95" customHeight="1" x14ac:dyDescent="0.25">
      <c r="A3068" s="241"/>
      <c r="B3068" s="243"/>
      <c r="C3068" s="241"/>
      <c r="D3068" s="241"/>
      <c r="E3068" s="241"/>
    </row>
    <row r="3069" spans="1:5" customFormat="1" ht="24.95" customHeight="1" x14ac:dyDescent="0.25">
      <c r="A3069" s="241"/>
      <c r="B3069" s="243"/>
      <c r="C3069" s="241"/>
      <c r="D3069" s="241"/>
      <c r="E3069" s="241"/>
    </row>
    <row r="3070" spans="1:5" customFormat="1" ht="24.95" customHeight="1" x14ac:dyDescent="0.25">
      <c r="A3070" s="241"/>
      <c r="B3070" s="243"/>
      <c r="C3070" s="241"/>
      <c r="D3070" s="241"/>
      <c r="E3070" s="241"/>
    </row>
    <row r="3071" spans="1:5" customFormat="1" ht="24.95" customHeight="1" x14ac:dyDescent="0.25">
      <c r="A3071" s="241"/>
      <c r="B3071" s="243"/>
      <c r="C3071" s="241"/>
      <c r="D3071" s="241"/>
      <c r="E3071" s="241"/>
    </row>
    <row r="3072" spans="1:5" customFormat="1" ht="24.95" customHeight="1" x14ac:dyDescent="0.25">
      <c r="A3072" s="241"/>
      <c r="B3072" s="243"/>
      <c r="C3072" s="241"/>
      <c r="D3072" s="241"/>
      <c r="E3072" s="241"/>
    </row>
    <row r="3073" spans="1:5" customFormat="1" ht="24.95" customHeight="1" x14ac:dyDescent="0.25">
      <c r="A3073" s="241"/>
      <c r="B3073" s="243"/>
      <c r="C3073" s="241"/>
      <c r="D3073" s="241"/>
      <c r="E3073" s="241"/>
    </row>
    <row r="3074" spans="1:5" customFormat="1" ht="24.95" customHeight="1" x14ac:dyDescent="0.25">
      <c r="A3074" s="241"/>
      <c r="B3074" s="243"/>
      <c r="C3074" s="241"/>
      <c r="D3074" s="241"/>
      <c r="E3074" s="241"/>
    </row>
    <row r="3075" spans="1:5" customFormat="1" ht="24.95" customHeight="1" x14ac:dyDescent="0.25">
      <c r="A3075" s="241"/>
      <c r="B3075" s="243"/>
      <c r="C3075" s="241"/>
      <c r="D3075" s="241"/>
      <c r="E3075" s="241"/>
    </row>
    <row r="3076" spans="1:5" customFormat="1" ht="24.95" customHeight="1" x14ac:dyDescent="0.25">
      <c r="A3076" s="241"/>
      <c r="B3076" s="243"/>
      <c r="C3076" s="241"/>
      <c r="D3076" s="241"/>
      <c r="E3076" s="241"/>
    </row>
    <row r="3077" spans="1:5" customFormat="1" ht="24.95" customHeight="1" x14ac:dyDescent="0.25">
      <c r="A3077" s="241"/>
      <c r="B3077" s="243"/>
      <c r="C3077" s="241"/>
      <c r="D3077" s="241"/>
      <c r="E3077" s="241"/>
    </row>
    <row r="3078" spans="1:5" customFormat="1" ht="24.95" customHeight="1" x14ac:dyDescent="0.25">
      <c r="A3078" s="241"/>
      <c r="B3078" s="243"/>
      <c r="C3078" s="241"/>
      <c r="D3078" s="241"/>
      <c r="E3078" s="241"/>
    </row>
    <row r="3079" spans="1:5" customFormat="1" ht="24.95" customHeight="1" x14ac:dyDescent="0.25">
      <c r="A3079" s="241"/>
      <c r="B3079" s="243"/>
      <c r="C3079" s="241"/>
      <c r="D3079" s="241"/>
      <c r="E3079" s="241"/>
    </row>
    <row r="3080" spans="1:5" customFormat="1" ht="24.95" customHeight="1" x14ac:dyDescent="0.25">
      <c r="A3080" s="241"/>
      <c r="B3080" s="243"/>
      <c r="C3080" s="241"/>
      <c r="D3080" s="241"/>
      <c r="E3080" s="241"/>
    </row>
    <row r="3081" spans="1:5" customFormat="1" ht="24.95" customHeight="1" x14ac:dyDescent="0.25">
      <c r="A3081" s="241"/>
      <c r="B3081" s="243"/>
      <c r="C3081" s="241"/>
      <c r="D3081" s="241"/>
      <c r="E3081" s="241"/>
    </row>
    <row r="3082" spans="1:5" customFormat="1" ht="24.95" customHeight="1" x14ac:dyDescent="0.25">
      <c r="A3082" s="241"/>
      <c r="B3082" s="243"/>
      <c r="C3082" s="241"/>
      <c r="D3082" s="241"/>
      <c r="E3082" s="241"/>
    </row>
    <row r="3083" spans="1:5" customFormat="1" ht="24.95" customHeight="1" x14ac:dyDescent="0.25">
      <c r="A3083" s="241"/>
      <c r="B3083" s="243"/>
      <c r="C3083" s="241"/>
      <c r="D3083" s="241"/>
      <c r="E3083" s="241"/>
    </row>
    <row r="3084" spans="1:5" customFormat="1" ht="24.95" customHeight="1" x14ac:dyDescent="0.25">
      <c r="A3084" s="241"/>
      <c r="B3084" s="243"/>
      <c r="C3084" s="241"/>
      <c r="D3084" s="241"/>
      <c r="E3084" s="241"/>
    </row>
    <row r="3085" spans="1:5" customFormat="1" ht="24.95" customHeight="1" x14ac:dyDescent="0.25">
      <c r="A3085" s="241"/>
      <c r="B3085" s="243"/>
      <c r="C3085" s="241"/>
      <c r="D3085" s="241"/>
      <c r="E3085" s="241"/>
    </row>
    <row r="3086" spans="1:5" customFormat="1" ht="24.95" customHeight="1" x14ac:dyDescent="0.25">
      <c r="A3086" s="241"/>
      <c r="B3086" s="243"/>
      <c r="C3086" s="241"/>
      <c r="D3086" s="241"/>
      <c r="E3086" s="241"/>
    </row>
    <row r="3087" spans="1:5" customFormat="1" ht="24.95" customHeight="1" x14ac:dyDescent="0.25">
      <c r="A3087" s="241"/>
      <c r="B3087" s="243"/>
      <c r="C3087" s="241"/>
      <c r="D3087" s="241"/>
      <c r="E3087" s="241"/>
    </row>
    <row r="3088" spans="1:5" customFormat="1" ht="24.95" customHeight="1" x14ac:dyDescent="0.25">
      <c r="A3088" s="241"/>
      <c r="B3088" s="243"/>
      <c r="C3088" s="241"/>
      <c r="D3088" s="241"/>
      <c r="E3088" s="241"/>
    </row>
    <row r="3089" spans="1:5" customFormat="1" ht="24.95" customHeight="1" x14ac:dyDescent="0.25">
      <c r="A3089" s="241"/>
      <c r="B3089" s="243"/>
      <c r="C3089" s="241"/>
      <c r="D3089" s="241"/>
      <c r="E3089" s="241"/>
    </row>
    <row r="3090" spans="1:5" customFormat="1" ht="24.95" customHeight="1" x14ac:dyDescent="0.25">
      <c r="A3090" s="241"/>
      <c r="B3090" s="243"/>
      <c r="C3090" s="241"/>
      <c r="D3090" s="241"/>
      <c r="E3090" s="241"/>
    </row>
    <row r="3091" spans="1:5" customFormat="1" ht="24.95" customHeight="1" x14ac:dyDescent="0.25">
      <c r="A3091" s="241"/>
      <c r="B3091" s="243"/>
      <c r="C3091" s="241"/>
      <c r="D3091" s="241"/>
      <c r="E3091" s="241"/>
    </row>
    <row r="3092" spans="1:5" customFormat="1" ht="24.95" customHeight="1" x14ac:dyDescent="0.25">
      <c r="A3092" s="241"/>
      <c r="B3092" s="243"/>
      <c r="C3092" s="241"/>
      <c r="D3092" s="241"/>
      <c r="E3092" s="241"/>
    </row>
    <row r="3093" spans="1:5" customFormat="1" ht="24.95" customHeight="1" x14ac:dyDescent="0.25">
      <c r="A3093" s="241"/>
      <c r="B3093" s="243"/>
      <c r="C3093" s="241"/>
      <c r="D3093" s="241"/>
      <c r="E3093" s="241"/>
    </row>
    <row r="3094" spans="1:5" customFormat="1" ht="24.95" customHeight="1" x14ac:dyDescent="0.25">
      <c r="A3094" s="241"/>
      <c r="B3094" s="243"/>
      <c r="C3094" s="241"/>
      <c r="D3094" s="241"/>
      <c r="E3094" s="241"/>
    </row>
    <row r="3095" spans="1:5" customFormat="1" ht="24.95" customHeight="1" x14ac:dyDescent="0.25">
      <c r="A3095" s="241"/>
      <c r="B3095" s="243"/>
      <c r="C3095" s="241"/>
      <c r="D3095" s="241"/>
      <c r="E3095" s="241"/>
    </row>
    <row r="3096" spans="1:5" customFormat="1" ht="24.95" customHeight="1" x14ac:dyDescent="0.25">
      <c r="A3096" s="241"/>
      <c r="B3096" s="243"/>
      <c r="C3096" s="241"/>
      <c r="D3096" s="241"/>
      <c r="E3096" s="241"/>
    </row>
    <row r="3097" spans="1:5" customFormat="1" ht="24.95" customHeight="1" x14ac:dyDescent="0.25">
      <c r="A3097" s="241"/>
      <c r="B3097" s="243"/>
      <c r="C3097" s="241"/>
      <c r="D3097" s="241"/>
      <c r="E3097" s="241"/>
    </row>
    <row r="3098" spans="1:5" customFormat="1" ht="24.95" customHeight="1" x14ac:dyDescent="0.25">
      <c r="A3098" s="241"/>
      <c r="B3098" s="243"/>
      <c r="C3098" s="241"/>
      <c r="D3098" s="241"/>
      <c r="E3098" s="241"/>
    </row>
    <row r="3099" spans="1:5" customFormat="1" ht="24.95" customHeight="1" x14ac:dyDescent="0.25">
      <c r="A3099" s="241"/>
      <c r="B3099" s="243"/>
      <c r="C3099" s="241"/>
      <c r="D3099" s="241"/>
      <c r="E3099" s="241"/>
    </row>
    <row r="3100" spans="1:5" customFormat="1" ht="24.95" customHeight="1" x14ac:dyDescent="0.25">
      <c r="A3100" s="241"/>
      <c r="B3100" s="243"/>
      <c r="C3100" s="241"/>
      <c r="D3100" s="241"/>
      <c r="E3100" s="241"/>
    </row>
    <row r="3101" spans="1:5" customFormat="1" ht="24.95" customHeight="1" x14ac:dyDescent="0.25">
      <c r="A3101" s="241"/>
      <c r="B3101" s="243"/>
      <c r="C3101" s="241"/>
      <c r="D3101" s="241"/>
      <c r="E3101" s="241"/>
    </row>
    <row r="3102" spans="1:5" customFormat="1" ht="24.95" customHeight="1" x14ac:dyDescent="0.25">
      <c r="A3102" s="241"/>
      <c r="B3102" s="243"/>
      <c r="C3102" s="241"/>
      <c r="D3102" s="241"/>
      <c r="E3102" s="241"/>
    </row>
    <row r="3103" spans="1:5" customFormat="1" ht="24.95" customHeight="1" x14ac:dyDescent="0.25">
      <c r="A3103" s="241"/>
      <c r="B3103" s="243"/>
      <c r="C3103" s="241"/>
      <c r="D3103" s="241"/>
      <c r="E3103" s="241"/>
    </row>
    <row r="3104" spans="1:5" customFormat="1" ht="24.95" customHeight="1" x14ac:dyDescent="0.25">
      <c r="A3104" s="241"/>
      <c r="B3104" s="243"/>
      <c r="C3104" s="241"/>
      <c r="D3104" s="241"/>
      <c r="E3104" s="241"/>
    </row>
    <row r="3105" spans="1:5" customFormat="1" ht="24.95" customHeight="1" x14ac:dyDescent="0.25">
      <c r="A3105" s="241"/>
      <c r="B3105" s="243"/>
      <c r="C3105" s="241"/>
      <c r="D3105" s="241"/>
      <c r="E3105" s="241"/>
    </row>
    <row r="3106" spans="1:5" customFormat="1" ht="24.95" customHeight="1" x14ac:dyDescent="0.25">
      <c r="A3106" s="241"/>
      <c r="B3106" s="243"/>
      <c r="C3106" s="241"/>
      <c r="D3106" s="241"/>
      <c r="E3106" s="241"/>
    </row>
    <row r="3107" spans="1:5" customFormat="1" ht="24.95" customHeight="1" x14ac:dyDescent="0.25">
      <c r="A3107" s="241"/>
      <c r="B3107" s="243"/>
      <c r="C3107" s="241"/>
      <c r="D3107" s="241"/>
      <c r="E3107" s="241"/>
    </row>
    <row r="3108" spans="1:5" customFormat="1" ht="24.95" customHeight="1" x14ac:dyDescent="0.25">
      <c r="A3108" s="241"/>
      <c r="B3108" s="243"/>
      <c r="C3108" s="241"/>
      <c r="D3108" s="241"/>
      <c r="E3108" s="241"/>
    </row>
    <row r="3109" spans="1:5" customFormat="1" ht="24.95" customHeight="1" x14ac:dyDescent="0.25">
      <c r="A3109" s="241"/>
      <c r="B3109" s="243"/>
      <c r="C3109" s="241"/>
      <c r="D3109" s="241"/>
      <c r="E3109" s="241"/>
    </row>
    <row r="3110" spans="1:5" customFormat="1" ht="24.95" customHeight="1" x14ac:dyDescent="0.25">
      <c r="A3110" s="241"/>
      <c r="B3110" s="243"/>
      <c r="C3110" s="241"/>
      <c r="D3110" s="241"/>
      <c r="E3110" s="241"/>
    </row>
    <row r="3111" spans="1:5" customFormat="1" ht="24.95" customHeight="1" x14ac:dyDescent="0.25">
      <c r="A3111" s="241"/>
      <c r="B3111" s="243"/>
      <c r="C3111" s="241"/>
      <c r="D3111" s="241"/>
      <c r="E3111" s="241"/>
    </row>
    <row r="3112" spans="1:5" customFormat="1" ht="24.95" customHeight="1" x14ac:dyDescent="0.25">
      <c r="A3112" s="241"/>
      <c r="B3112" s="243"/>
      <c r="C3112" s="241"/>
      <c r="D3112" s="241"/>
      <c r="E3112" s="241"/>
    </row>
    <row r="3113" spans="1:5" customFormat="1" ht="24.95" customHeight="1" x14ac:dyDescent="0.25">
      <c r="A3113" s="241"/>
      <c r="B3113" s="243"/>
      <c r="C3113" s="241"/>
      <c r="D3113" s="241"/>
      <c r="E3113" s="241"/>
    </row>
    <row r="3114" spans="1:5" customFormat="1" ht="24.95" customHeight="1" x14ac:dyDescent="0.25">
      <c r="A3114" s="241"/>
      <c r="B3114" s="243"/>
      <c r="C3114" s="241"/>
      <c r="D3114" s="241"/>
      <c r="E3114" s="241"/>
    </row>
    <row r="3115" spans="1:5" customFormat="1" ht="24.95" customHeight="1" x14ac:dyDescent="0.25">
      <c r="A3115" s="241"/>
      <c r="B3115" s="243"/>
      <c r="C3115" s="241"/>
      <c r="D3115" s="241"/>
      <c r="E3115" s="241"/>
    </row>
    <row r="3116" spans="1:5" customFormat="1" ht="24.95" customHeight="1" x14ac:dyDescent="0.25">
      <c r="A3116" s="241"/>
      <c r="B3116" s="243"/>
      <c r="C3116" s="241"/>
      <c r="D3116" s="241"/>
      <c r="E3116" s="241"/>
    </row>
    <row r="3117" spans="1:5" customFormat="1" ht="24.95" customHeight="1" x14ac:dyDescent="0.25">
      <c r="A3117" s="241"/>
      <c r="B3117" s="243"/>
      <c r="C3117" s="241"/>
      <c r="D3117" s="241"/>
      <c r="E3117" s="241"/>
    </row>
    <row r="3118" spans="1:5" customFormat="1" ht="24.95" customHeight="1" x14ac:dyDescent="0.25">
      <c r="A3118" s="241"/>
      <c r="B3118" s="243"/>
      <c r="C3118" s="241"/>
      <c r="D3118" s="241"/>
      <c r="E3118" s="241"/>
    </row>
    <row r="3119" spans="1:5" customFormat="1" ht="24.95" customHeight="1" x14ac:dyDescent="0.25">
      <c r="A3119" s="241"/>
      <c r="B3119" s="243"/>
      <c r="C3119" s="241"/>
      <c r="D3119" s="241"/>
      <c r="E3119" s="241"/>
    </row>
    <row r="3120" spans="1:5" customFormat="1" ht="24.95" customHeight="1" x14ac:dyDescent="0.25">
      <c r="A3120" s="241"/>
      <c r="B3120" s="243"/>
      <c r="C3120" s="241"/>
      <c r="D3120" s="241"/>
      <c r="E3120" s="241"/>
    </row>
    <row r="3121" spans="1:5" customFormat="1" ht="24.95" customHeight="1" x14ac:dyDescent="0.25">
      <c r="A3121" s="241"/>
      <c r="B3121" s="243"/>
      <c r="C3121" s="241"/>
      <c r="D3121" s="241"/>
      <c r="E3121" s="241"/>
    </row>
    <row r="3122" spans="1:5" customFormat="1" ht="24.95" customHeight="1" x14ac:dyDescent="0.25">
      <c r="A3122" s="241"/>
      <c r="B3122" s="243"/>
      <c r="C3122" s="241"/>
      <c r="D3122" s="241"/>
      <c r="E3122" s="241"/>
    </row>
    <row r="3123" spans="1:5" customFormat="1" ht="24.95" customHeight="1" x14ac:dyDescent="0.25">
      <c r="A3123" s="241"/>
      <c r="B3123" s="243"/>
      <c r="C3123" s="241"/>
      <c r="D3123" s="241"/>
      <c r="E3123" s="241"/>
    </row>
    <row r="3124" spans="1:5" customFormat="1" ht="24.95" customHeight="1" x14ac:dyDescent="0.25">
      <c r="A3124" s="241"/>
      <c r="B3124" s="243"/>
      <c r="C3124" s="241"/>
      <c r="D3124" s="241"/>
      <c r="E3124" s="241"/>
    </row>
    <row r="3125" spans="1:5" customFormat="1" ht="24.95" customHeight="1" x14ac:dyDescent="0.25">
      <c r="A3125" s="241"/>
      <c r="B3125" s="243"/>
      <c r="C3125" s="241"/>
      <c r="D3125" s="241"/>
      <c r="E3125" s="241"/>
    </row>
    <row r="3126" spans="1:5" customFormat="1" ht="24.95" customHeight="1" x14ac:dyDescent="0.25">
      <c r="A3126" s="241"/>
      <c r="B3126" s="243"/>
      <c r="C3126" s="241"/>
      <c r="D3126" s="241"/>
      <c r="E3126" s="241"/>
    </row>
    <row r="3127" spans="1:5" customFormat="1" ht="24.95" customHeight="1" x14ac:dyDescent="0.25">
      <c r="A3127" s="241"/>
      <c r="B3127" s="243"/>
      <c r="C3127" s="241"/>
      <c r="D3127" s="241"/>
      <c r="E3127" s="241"/>
    </row>
    <row r="3128" spans="1:5" customFormat="1" ht="24.95" customHeight="1" x14ac:dyDescent="0.25">
      <c r="A3128" s="241"/>
      <c r="B3128" s="243"/>
      <c r="C3128" s="241"/>
      <c r="D3128" s="241"/>
      <c r="E3128" s="241"/>
    </row>
    <row r="3129" spans="1:5" customFormat="1" ht="24.95" customHeight="1" x14ac:dyDescent="0.25">
      <c r="A3129" s="241"/>
      <c r="B3129" s="243"/>
      <c r="C3129" s="241"/>
      <c r="D3129" s="241"/>
      <c r="E3129" s="241"/>
    </row>
    <row r="3130" spans="1:5" customFormat="1" ht="24.95" customHeight="1" x14ac:dyDescent="0.25">
      <c r="A3130" s="241"/>
      <c r="B3130" s="243"/>
      <c r="C3130" s="241"/>
      <c r="D3130" s="241"/>
      <c r="E3130" s="241"/>
    </row>
    <row r="3131" spans="1:5" customFormat="1" ht="24.95" customHeight="1" x14ac:dyDescent="0.25">
      <c r="A3131" s="241"/>
      <c r="B3131" s="243"/>
      <c r="C3131" s="241"/>
      <c r="D3131" s="241"/>
      <c r="E3131" s="241"/>
    </row>
    <row r="3132" spans="1:5" customFormat="1" ht="24.95" customHeight="1" x14ac:dyDescent="0.25">
      <c r="A3132" s="241"/>
      <c r="B3132" s="243"/>
      <c r="C3132" s="241"/>
      <c r="D3132" s="241"/>
      <c r="E3132" s="241"/>
    </row>
    <row r="3133" spans="1:5" customFormat="1" ht="24.95" customHeight="1" x14ac:dyDescent="0.25">
      <c r="A3133" s="241"/>
      <c r="B3133" s="243"/>
      <c r="C3133" s="241"/>
      <c r="D3133" s="241"/>
      <c r="E3133" s="241"/>
    </row>
    <row r="3134" spans="1:5" customFormat="1" ht="24.95" customHeight="1" x14ac:dyDescent="0.25">
      <c r="A3134" s="241"/>
      <c r="B3134" s="243"/>
      <c r="C3134" s="241"/>
      <c r="D3134" s="241"/>
      <c r="E3134" s="241"/>
    </row>
    <row r="3135" spans="1:5" customFormat="1" ht="24.95" customHeight="1" x14ac:dyDescent="0.25">
      <c r="A3135" s="241"/>
      <c r="B3135" s="243"/>
      <c r="C3135" s="241"/>
      <c r="D3135" s="241"/>
      <c r="E3135" s="241"/>
    </row>
    <row r="3136" spans="1:5" customFormat="1" ht="24.95" customHeight="1" x14ac:dyDescent="0.25">
      <c r="A3136" s="241"/>
      <c r="B3136" s="243"/>
      <c r="C3136" s="241"/>
      <c r="D3136" s="241"/>
      <c r="E3136" s="241"/>
    </row>
    <row r="3137" spans="1:5" customFormat="1" ht="24.95" customHeight="1" x14ac:dyDescent="0.25">
      <c r="A3137" s="241"/>
      <c r="B3137" s="243"/>
      <c r="C3137" s="241"/>
      <c r="D3137" s="241"/>
      <c r="E3137" s="241"/>
    </row>
    <row r="3138" spans="1:5" customFormat="1" ht="24.95" customHeight="1" x14ac:dyDescent="0.25">
      <c r="A3138" s="241"/>
      <c r="B3138" s="243"/>
      <c r="C3138" s="241"/>
      <c r="D3138" s="241"/>
      <c r="E3138" s="241"/>
    </row>
    <row r="3139" spans="1:5" customFormat="1" ht="24.95" customHeight="1" x14ac:dyDescent="0.25">
      <c r="A3139" s="241"/>
      <c r="B3139" s="243"/>
      <c r="C3139" s="241"/>
      <c r="D3139" s="241"/>
      <c r="E3139" s="241"/>
    </row>
    <row r="3140" spans="1:5" customFormat="1" ht="24.95" customHeight="1" x14ac:dyDescent="0.25">
      <c r="A3140" s="241"/>
      <c r="B3140" s="243"/>
      <c r="C3140" s="241"/>
      <c r="D3140" s="241"/>
      <c r="E3140" s="241"/>
    </row>
    <row r="3141" spans="1:5" customFormat="1" ht="24.95" customHeight="1" x14ac:dyDescent="0.25">
      <c r="A3141" s="241"/>
      <c r="B3141" s="243"/>
      <c r="C3141" s="241"/>
      <c r="D3141" s="241"/>
      <c r="E3141" s="241"/>
    </row>
    <row r="3142" spans="1:5" customFormat="1" ht="24.95" customHeight="1" x14ac:dyDescent="0.25">
      <c r="A3142" s="241"/>
      <c r="B3142" s="243"/>
      <c r="C3142" s="241"/>
      <c r="D3142" s="241"/>
      <c r="E3142" s="241"/>
    </row>
    <row r="3143" spans="1:5" customFormat="1" ht="24.95" customHeight="1" x14ac:dyDescent="0.25">
      <c r="A3143" s="241"/>
      <c r="B3143" s="243"/>
      <c r="C3143" s="241"/>
      <c r="D3143" s="241"/>
      <c r="E3143" s="241"/>
    </row>
    <row r="3144" spans="1:5" customFormat="1" ht="24.95" customHeight="1" x14ac:dyDescent="0.25">
      <c r="A3144" s="241"/>
      <c r="B3144" s="243"/>
      <c r="C3144" s="241"/>
      <c r="D3144" s="241"/>
      <c r="E3144" s="241"/>
    </row>
    <row r="3145" spans="1:5" customFormat="1" ht="24.95" customHeight="1" x14ac:dyDescent="0.25">
      <c r="A3145" s="241"/>
      <c r="B3145" s="243"/>
      <c r="C3145" s="241"/>
      <c r="D3145" s="241"/>
      <c r="E3145" s="241"/>
    </row>
    <row r="3146" spans="1:5" customFormat="1" ht="24.95" customHeight="1" x14ac:dyDescent="0.25">
      <c r="A3146" s="241"/>
      <c r="B3146" s="243"/>
      <c r="C3146" s="241"/>
      <c r="D3146" s="241"/>
      <c r="E3146" s="241"/>
    </row>
    <row r="3147" spans="1:5" customFormat="1" ht="24.95" customHeight="1" x14ac:dyDescent="0.25">
      <c r="A3147" s="241"/>
      <c r="B3147" s="243"/>
      <c r="C3147" s="241"/>
      <c r="D3147" s="241"/>
      <c r="E3147" s="241"/>
    </row>
    <row r="3148" spans="1:5" customFormat="1" ht="24.95" customHeight="1" x14ac:dyDescent="0.25">
      <c r="A3148" s="241"/>
      <c r="B3148" s="243"/>
      <c r="C3148" s="241"/>
      <c r="D3148" s="241"/>
      <c r="E3148" s="241"/>
    </row>
    <row r="3149" spans="1:5" customFormat="1" ht="24.95" customHeight="1" x14ac:dyDescent="0.25">
      <c r="A3149" s="241"/>
      <c r="B3149" s="243"/>
      <c r="C3149" s="241"/>
      <c r="D3149" s="241"/>
      <c r="E3149" s="241"/>
    </row>
    <row r="3150" spans="1:5" customFormat="1" ht="24.95" customHeight="1" x14ac:dyDescent="0.25">
      <c r="A3150" s="241"/>
      <c r="B3150" s="243"/>
      <c r="C3150" s="241"/>
      <c r="D3150" s="241"/>
      <c r="E3150" s="241"/>
    </row>
    <row r="3151" spans="1:5" customFormat="1" ht="24.95" customHeight="1" x14ac:dyDescent="0.25">
      <c r="A3151" s="241"/>
      <c r="B3151" s="243"/>
      <c r="C3151" s="241"/>
      <c r="D3151" s="241"/>
      <c r="E3151" s="241"/>
    </row>
    <row r="3152" spans="1:5" customFormat="1" ht="24.95" customHeight="1" x14ac:dyDescent="0.25">
      <c r="A3152" s="241"/>
      <c r="B3152" s="243"/>
      <c r="C3152" s="241"/>
      <c r="D3152" s="241"/>
      <c r="E3152" s="241"/>
    </row>
    <row r="3153" spans="1:5" customFormat="1" ht="24.95" customHeight="1" x14ac:dyDescent="0.25">
      <c r="A3153" s="241"/>
      <c r="B3153" s="243"/>
      <c r="C3153" s="241"/>
      <c r="D3153" s="241"/>
      <c r="E3153" s="241"/>
    </row>
    <row r="3154" spans="1:5" customFormat="1" ht="24.95" customHeight="1" x14ac:dyDescent="0.25">
      <c r="A3154" s="241"/>
      <c r="B3154" s="243"/>
      <c r="C3154" s="241"/>
      <c r="D3154" s="241"/>
      <c r="E3154" s="241"/>
    </row>
    <row r="3155" spans="1:5" customFormat="1" ht="24.95" customHeight="1" x14ac:dyDescent="0.25">
      <c r="A3155" s="241"/>
      <c r="B3155" s="243"/>
      <c r="C3155" s="241"/>
      <c r="D3155" s="241"/>
      <c r="E3155" s="241"/>
    </row>
    <row r="3156" spans="1:5" customFormat="1" ht="24.95" customHeight="1" x14ac:dyDescent="0.25">
      <c r="A3156" s="241"/>
      <c r="B3156" s="243"/>
      <c r="C3156" s="241"/>
      <c r="D3156" s="241"/>
      <c r="E3156" s="241"/>
    </row>
    <row r="3157" spans="1:5" customFormat="1" ht="24.95" customHeight="1" x14ac:dyDescent="0.25">
      <c r="A3157" s="241"/>
      <c r="B3157" s="243"/>
      <c r="C3157" s="241"/>
      <c r="D3157" s="241"/>
      <c r="E3157" s="241"/>
    </row>
    <row r="3158" spans="1:5" customFormat="1" ht="24.95" customHeight="1" x14ac:dyDescent="0.25">
      <c r="A3158" s="241"/>
      <c r="B3158" s="243"/>
      <c r="C3158" s="241"/>
      <c r="D3158" s="241"/>
      <c r="E3158" s="241"/>
    </row>
    <row r="3159" spans="1:5" customFormat="1" ht="24.95" customHeight="1" x14ac:dyDescent="0.25">
      <c r="A3159" s="241"/>
      <c r="B3159" s="243"/>
      <c r="C3159" s="241"/>
      <c r="D3159" s="241"/>
      <c r="E3159" s="241"/>
    </row>
    <row r="3160" spans="1:5" customFormat="1" ht="24.95" customHeight="1" x14ac:dyDescent="0.25">
      <c r="A3160" s="241"/>
      <c r="B3160" s="243"/>
      <c r="C3160" s="241"/>
      <c r="D3160" s="241"/>
      <c r="E3160" s="241"/>
    </row>
    <row r="3161" spans="1:5" customFormat="1" ht="24.95" customHeight="1" x14ac:dyDescent="0.25">
      <c r="A3161" s="241"/>
      <c r="B3161" s="243"/>
      <c r="C3161" s="241"/>
      <c r="D3161" s="241"/>
      <c r="E3161" s="241"/>
    </row>
    <row r="3162" spans="1:5" customFormat="1" ht="24.95" customHeight="1" x14ac:dyDescent="0.25">
      <c r="A3162" s="241"/>
      <c r="B3162" s="243"/>
      <c r="C3162" s="241"/>
      <c r="D3162" s="241"/>
      <c r="E3162" s="241"/>
    </row>
    <row r="3163" spans="1:5" customFormat="1" ht="24.95" customHeight="1" x14ac:dyDescent="0.25">
      <c r="A3163" s="241"/>
      <c r="B3163" s="243"/>
      <c r="C3163" s="241"/>
      <c r="D3163" s="241"/>
      <c r="E3163" s="241"/>
    </row>
    <row r="3164" spans="1:5" customFormat="1" ht="24.95" customHeight="1" x14ac:dyDescent="0.25">
      <c r="A3164" s="241"/>
      <c r="B3164" s="243"/>
      <c r="C3164" s="241"/>
      <c r="D3164" s="241"/>
      <c r="E3164" s="241"/>
    </row>
    <row r="3165" spans="1:5" customFormat="1" ht="24.95" customHeight="1" x14ac:dyDescent="0.25">
      <c r="A3165" s="241"/>
      <c r="B3165" s="243"/>
      <c r="C3165" s="241"/>
      <c r="D3165" s="241"/>
      <c r="E3165" s="241"/>
    </row>
    <row r="3166" spans="1:5" customFormat="1" ht="24.95" customHeight="1" x14ac:dyDescent="0.25">
      <c r="A3166" s="241"/>
      <c r="B3166" s="243"/>
      <c r="C3166" s="241"/>
      <c r="D3166" s="241"/>
      <c r="E3166" s="241"/>
    </row>
    <row r="3167" spans="1:5" customFormat="1" ht="24.95" customHeight="1" x14ac:dyDescent="0.25">
      <c r="A3167" s="241"/>
      <c r="B3167" s="243"/>
      <c r="C3167" s="241"/>
      <c r="D3167" s="241"/>
      <c r="E3167" s="241"/>
    </row>
    <row r="3168" spans="1:5" customFormat="1" ht="24.95" customHeight="1" x14ac:dyDescent="0.25">
      <c r="A3168" s="241"/>
      <c r="B3168" s="243"/>
      <c r="C3168" s="241"/>
      <c r="D3168" s="241"/>
      <c r="E3168" s="241"/>
    </row>
    <row r="3169" spans="1:5" customFormat="1" ht="24.95" customHeight="1" x14ac:dyDescent="0.25">
      <c r="A3169" s="241"/>
      <c r="B3169" s="243"/>
      <c r="C3169" s="241"/>
      <c r="D3169" s="241"/>
      <c r="E3169" s="241"/>
    </row>
    <row r="3170" spans="1:5" customFormat="1" ht="24.95" customHeight="1" x14ac:dyDescent="0.25">
      <c r="A3170" s="241"/>
      <c r="B3170" s="243"/>
      <c r="C3170" s="241"/>
      <c r="D3170" s="241"/>
      <c r="E3170" s="241"/>
    </row>
    <row r="3171" spans="1:5" customFormat="1" ht="24.95" customHeight="1" x14ac:dyDescent="0.25">
      <c r="A3171" s="241"/>
      <c r="B3171" s="243"/>
      <c r="C3171" s="241"/>
      <c r="D3171" s="241"/>
      <c r="E3171" s="241"/>
    </row>
    <row r="3172" spans="1:5" customFormat="1" ht="24.95" customHeight="1" x14ac:dyDescent="0.25">
      <c r="A3172" s="241"/>
      <c r="B3172" s="243"/>
      <c r="C3172" s="241"/>
      <c r="D3172" s="241"/>
      <c r="E3172" s="241"/>
    </row>
    <row r="3173" spans="1:5" customFormat="1" ht="24.95" customHeight="1" x14ac:dyDescent="0.25">
      <c r="A3173" s="241"/>
      <c r="B3173" s="243"/>
      <c r="C3173" s="241"/>
      <c r="D3173" s="241"/>
      <c r="E3173" s="241"/>
    </row>
    <row r="3174" spans="1:5" customFormat="1" ht="24.95" customHeight="1" x14ac:dyDescent="0.25">
      <c r="A3174" s="241"/>
      <c r="B3174" s="243"/>
      <c r="C3174" s="241"/>
      <c r="D3174" s="241"/>
      <c r="E3174" s="241"/>
    </row>
    <row r="3175" spans="1:5" customFormat="1" ht="24.95" customHeight="1" x14ac:dyDescent="0.25">
      <c r="A3175" s="241"/>
      <c r="B3175" s="243"/>
      <c r="C3175" s="241"/>
      <c r="D3175" s="241"/>
      <c r="E3175" s="241"/>
    </row>
    <row r="3176" spans="1:5" customFormat="1" ht="24.95" customHeight="1" x14ac:dyDescent="0.25">
      <c r="A3176" s="241"/>
      <c r="B3176" s="243"/>
      <c r="C3176" s="241"/>
      <c r="D3176" s="241"/>
      <c r="E3176" s="241"/>
    </row>
    <row r="3177" spans="1:5" customFormat="1" ht="24.95" customHeight="1" x14ac:dyDescent="0.25">
      <c r="A3177" s="241"/>
      <c r="B3177" s="243"/>
      <c r="C3177" s="241"/>
      <c r="D3177" s="241"/>
      <c r="E3177" s="241"/>
    </row>
    <row r="3178" spans="1:5" customFormat="1" ht="24.95" customHeight="1" x14ac:dyDescent="0.25">
      <c r="A3178" s="241"/>
      <c r="B3178" s="243"/>
      <c r="C3178" s="241"/>
      <c r="D3178" s="241"/>
      <c r="E3178" s="241"/>
    </row>
    <row r="3179" spans="1:5" customFormat="1" ht="24.95" customHeight="1" x14ac:dyDescent="0.25">
      <c r="A3179" s="241"/>
      <c r="B3179" s="243"/>
      <c r="C3179" s="241"/>
      <c r="D3179" s="241"/>
      <c r="E3179" s="241"/>
    </row>
    <row r="3180" spans="1:5" customFormat="1" ht="24.95" customHeight="1" x14ac:dyDescent="0.25">
      <c r="A3180" s="241"/>
      <c r="B3180" s="243"/>
      <c r="C3180" s="241"/>
      <c r="D3180" s="241"/>
      <c r="E3180" s="241"/>
    </row>
    <row r="3181" spans="1:5" customFormat="1" ht="24.95" customHeight="1" x14ac:dyDescent="0.25">
      <c r="A3181" s="241"/>
      <c r="B3181" s="243"/>
      <c r="C3181" s="241"/>
      <c r="D3181" s="241"/>
      <c r="E3181" s="241"/>
    </row>
    <row r="3182" spans="1:5" customFormat="1" ht="24.95" customHeight="1" x14ac:dyDescent="0.25">
      <c r="A3182" s="241"/>
      <c r="B3182" s="243"/>
      <c r="C3182" s="241"/>
      <c r="D3182" s="241"/>
      <c r="E3182" s="241"/>
    </row>
    <row r="3183" spans="1:5" customFormat="1" ht="24.95" customHeight="1" x14ac:dyDescent="0.25">
      <c r="A3183" s="241"/>
      <c r="B3183" s="243"/>
      <c r="C3183" s="241"/>
      <c r="D3183" s="241"/>
      <c r="E3183" s="241"/>
    </row>
    <row r="3184" spans="1:5" customFormat="1" ht="24.95" customHeight="1" x14ac:dyDescent="0.25">
      <c r="A3184" s="241"/>
      <c r="B3184" s="243"/>
      <c r="C3184" s="241"/>
      <c r="D3184" s="241"/>
      <c r="E3184" s="241"/>
    </row>
    <row r="3185" spans="1:5" customFormat="1" ht="24.95" customHeight="1" x14ac:dyDescent="0.25">
      <c r="A3185" s="241"/>
      <c r="B3185" s="243"/>
      <c r="C3185" s="241"/>
      <c r="D3185" s="241"/>
      <c r="E3185" s="241"/>
    </row>
    <row r="3186" spans="1:5" customFormat="1" ht="24.95" customHeight="1" x14ac:dyDescent="0.25">
      <c r="A3186" s="241"/>
      <c r="B3186" s="243"/>
      <c r="C3186" s="241"/>
      <c r="D3186" s="241"/>
      <c r="E3186" s="241"/>
    </row>
    <row r="3187" spans="1:5" customFormat="1" ht="24.95" customHeight="1" x14ac:dyDescent="0.25">
      <c r="A3187" s="241"/>
      <c r="B3187" s="243"/>
      <c r="C3187" s="241"/>
      <c r="D3187" s="241"/>
      <c r="E3187" s="241"/>
    </row>
    <row r="3188" spans="1:5" customFormat="1" ht="24.95" customHeight="1" x14ac:dyDescent="0.25">
      <c r="A3188" s="241"/>
      <c r="B3188" s="243"/>
      <c r="C3188" s="241"/>
      <c r="D3188" s="241"/>
      <c r="E3188" s="241"/>
    </row>
    <row r="3189" spans="1:5" customFormat="1" ht="24.95" customHeight="1" x14ac:dyDescent="0.25">
      <c r="A3189" s="241"/>
      <c r="B3189" s="243"/>
      <c r="C3189" s="241"/>
      <c r="D3189" s="241"/>
      <c r="E3189" s="241"/>
    </row>
    <row r="3190" spans="1:5" customFormat="1" ht="24.95" customHeight="1" x14ac:dyDescent="0.25">
      <c r="A3190" s="241"/>
      <c r="B3190" s="243"/>
      <c r="C3190" s="241"/>
      <c r="D3190" s="241"/>
      <c r="E3190" s="241"/>
    </row>
    <row r="3191" spans="1:5" customFormat="1" ht="24.95" customHeight="1" x14ac:dyDescent="0.25">
      <c r="A3191" s="241"/>
      <c r="B3191" s="243"/>
      <c r="C3191" s="241"/>
      <c r="D3191" s="241"/>
      <c r="E3191" s="241"/>
    </row>
    <row r="3192" spans="1:5" customFormat="1" ht="24.95" customHeight="1" x14ac:dyDescent="0.25">
      <c r="A3192" s="241"/>
      <c r="B3192" s="243"/>
      <c r="C3192" s="241"/>
      <c r="D3192" s="241"/>
      <c r="E3192" s="241"/>
    </row>
    <row r="3193" spans="1:5" customFormat="1" ht="24.95" customHeight="1" x14ac:dyDescent="0.25">
      <c r="A3193" s="241"/>
      <c r="B3193" s="243"/>
      <c r="C3193" s="241"/>
      <c r="D3193" s="241"/>
      <c r="E3193" s="241"/>
    </row>
    <row r="3194" spans="1:5" customFormat="1" ht="24.95" customHeight="1" x14ac:dyDescent="0.25">
      <c r="A3194" s="241"/>
      <c r="B3194" s="243"/>
      <c r="C3194" s="241"/>
      <c r="D3194" s="241"/>
      <c r="E3194" s="241"/>
    </row>
    <row r="3195" spans="1:5" customFormat="1" ht="24.95" customHeight="1" x14ac:dyDescent="0.25">
      <c r="A3195" s="241"/>
      <c r="B3195" s="243"/>
      <c r="C3195" s="241"/>
      <c r="D3195" s="241"/>
      <c r="E3195" s="241"/>
    </row>
    <row r="3196" spans="1:5" customFormat="1" ht="24.95" customHeight="1" x14ac:dyDescent="0.25">
      <c r="A3196" s="241"/>
      <c r="B3196" s="243"/>
      <c r="C3196" s="241"/>
      <c r="D3196" s="241"/>
      <c r="E3196" s="241"/>
    </row>
    <row r="3197" spans="1:5" customFormat="1" ht="24.95" customHeight="1" x14ac:dyDescent="0.25">
      <c r="A3197" s="241"/>
      <c r="B3197" s="243"/>
      <c r="C3197" s="241"/>
      <c r="D3197" s="241"/>
      <c r="E3197" s="241"/>
    </row>
    <row r="3198" spans="1:5" customFormat="1" ht="24.95" customHeight="1" x14ac:dyDescent="0.25">
      <c r="A3198" s="241"/>
      <c r="B3198" s="243"/>
      <c r="C3198" s="241"/>
      <c r="D3198" s="241"/>
      <c r="E3198" s="241"/>
    </row>
    <row r="3199" spans="1:5" customFormat="1" ht="24.95" customHeight="1" x14ac:dyDescent="0.25">
      <c r="A3199" s="241"/>
      <c r="B3199" s="243"/>
      <c r="C3199" s="241"/>
      <c r="D3199" s="241"/>
      <c r="E3199" s="241"/>
    </row>
    <row r="3200" spans="1:5" customFormat="1" ht="24.95" customHeight="1" x14ac:dyDescent="0.25">
      <c r="A3200" s="241"/>
      <c r="B3200" s="243"/>
      <c r="C3200" s="241"/>
      <c r="D3200" s="241"/>
      <c r="E3200" s="241"/>
    </row>
    <row r="3201" spans="1:5" customFormat="1" ht="24.95" customHeight="1" x14ac:dyDescent="0.25">
      <c r="A3201" s="241"/>
      <c r="B3201" s="243"/>
      <c r="C3201" s="241"/>
      <c r="D3201" s="241"/>
      <c r="E3201" s="241"/>
    </row>
    <row r="3202" spans="1:5" customFormat="1" ht="24.95" customHeight="1" x14ac:dyDescent="0.25">
      <c r="A3202" s="241"/>
      <c r="B3202" s="243"/>
      <c r="C3202" s="241"/>
      <c r="D3202" s="241"/>
      <c r="E3202" s="241"/>
    </row>
    <row r="3203" spans="1:5" customFormat="1" ht="24.95" customHeight="1" x14ac:dyDescent="0.25">
      <c r="A3203" s="241"/>
      <c r="B3203" s="243"/>
      <c r="C3203" s="241"/>
      <c r="D3203" s="241"/>
      <c r="E3203" s="241"/>
    </row>
    <row r="3204" spans="1:5" customFormat="1" ht="24.95" customHeight="1" x14ac:dyDescent="0.25">
      <c r="A3204" s="241"/>
      <c r="B3204" s="243"/>
      <c r="C3204" s="241"/>
      <c r="D3204" s="241"/>
      <c r="E3204" s="241"/>
    </row>
    <row r="3205" spans="1:5" customFormat="1" ht="24.95" customHeight="1" x14ac:dyDescent="0.25">
      <c r="A3205" s="241"/>
      <c r="B3205" s="243"/>
      <c r="C3205" s="241"/>
      <c r="D3205" s="241"/>
      <c r="E3205" s="241"/>
    </row>
    <row r="3206" spans="1:5" customFormat="1" ht="24.95" customHeight="1" x14ac:dyDescent="0.25">
      <c r="A3206" s="241"/>
      <c r="B3206" s="243"/>
      <c r="C3206" s="241"/>
      <c r="D3206" s="241"/>
      <c r="E3206" s="241"/>
    </row>
    <row r="3207" spans="1:5" customFormat="1" ht="24.95" customHeight="1" x14ac:dyDescent="0.25">
      <c r="A3207" s="241"/>
      <c r="B3207" s="243"/>
      <c r="C3207" s="241"/>
      <c r="D3207" s="241"/>
      <c r="E3207" s="241"/>
    </row>
    <row r="3208" spans="1:5" customFormat="1" ht="24.95" customHeight="1" x14ac:dyDescent="0.25">
      <c r="A3208" s="241"/>
      <c r="B3208" s="243"/>
      <c r="C3208" s="241"/>
      <c r="D3208" s="241"/>
      <c r="E3208" s="241"/>
    </row>
    <row r="3209" spans="1:5" customFormat="1" ht="24.95" customHeight="1" x14ac:dyDescent="0.25">
      <c r="A3209" s="241"/>
      <c r="B3209" s="243"/>
      <c r="C3209" s="241"/>
      <c r="D3209" s="241"/>
      <c r="E3209" s="241"/>
    </row>
    <row r="3210" spans="1:5" customFormat="1" ht="24.95" customHeight="1" x14ac:dyDescent="0.25">
      <c r="A3210" s="241"/>
      <c r="B3210" s="243"/>
      <c r="C3210" s="241"/>
      <c r="D3210" s="241"/>
      <c r="E3210" s="241"/>
    </row>
    <row r="3211" spans="1:5" customFormat="1" ht="24.95" customHeight="1" x14ac:dyDescent="0.25">
      <c r="A3211" s="241"/>
      <c r="B3211" s="243"/>
      <c r="C3211" s="241"/>
      <c r="D3211" s="241"/>
      <c r="E3211" s="241"/>
    </row>
    <row r="3212" spans="1:5" customFormat="1" ht="24.95" customHeight="1" x14ac:dyDescent="0.25">
      <c r="A3212" s="241"/>
      <c r="B3212" s="243"/>
      <c r="C3212" s="241"/>
      <c r="D3212" s="241"/>
      <c r="E3212" s="241"/>
    </row>
    <row r="3213" spans="1:5" customFormat="1" ht="24.95" customHeight="1" x14ac:dyDescent="0.25">
      <c r="A3213" s="241"/>
      <c r="B3213" s="243"/>
      <c r="C3213" s="241"/>
      <c r="D3213" s="241"/>
      <c r="E3213" s="241"/>
    </row>
    <row r="3214" spans="1:5" customFormat="1" ht="24.95" customHeight="1" x14ac:dyDescent="0.25">
      <c r="A3214" s="241"/>
      <c r="B3214" s="243"/>
      <c r="C3214" s="241"/>
      <c r="D3214" s="241"/>
      <c r="E3214" s="241"/>
    </row>
    <row r="3215" spans="1:5" customFormat="1" ht="24.95" customHeight="1" x14ac:dyDescent="0.25">
      <c r="A3215" s="241"/>
      <c r="B3215" s="243"/>
      <c r="C3215" s="241"/>
      <c r="D3215" s="241"/>
      <c r="E3215" s="241"/>
    </row>
    <row r="3216" spans="1:5" customFormat="1" ht="24.95" customHeight="1" x14ac:dyDescent="0.25">
      <c r="A3216" s="241"/>
      <c r="B3216" s="243"/>
      <c r="C3216" s="241"/>
      <c r="D3216" s="241"/>
      <c r="E3216" s="241"/>
    </row>
    <row r="3217" spans="1:5" customFormat="1" ht="24.95" customHeight="1" x14ac:dyDescent="0.25">
      <c r="A3217" s="241"/>
      <c r="B3217" s="243"/>
      <c r="C3217" s="241"/>
      <c r="D3217" s="241"/>
      <c r="E3217" s="241"/>
    </row>
    <row r="3218" spans="1:5" customFormat="1" ht="24.95" customHeight="1" x14ac:dyDescent="0.25">
      <c r="A3218" s="241"/>
      <c r="B3218" s="243"/>
      <c r="C3218" s="241"/>
      <c r="D3218" s="241"/>
      <c r="E3218" s="241"/>
    </row>
    <row r="3219" spans="1:5" customFormat="1" ht="24.95" customHeight="1" x14ac:dyDescent="0.25">
      <c r="A3219" s="241"/>
      <c r="B3219" s="243"/>
      <c r="C3219" s="241"/>
      <c r="D3219" s="241"/>
      <c r="E3219" s="241"/>
    </row>
    <row r="3220" spans="1:5" customFormat="1" ht="24.95" customHeight="1" x14ac:dyDescent="0.25">
      <c r="A3220" s="241"/>
      <c r="B3220" s="243"/>
      <c r="C3220" s="241"/>
      <c r="D3220" s="241"/>
      <c r="E3220" s="241"/>
    </row>
    <row r="3221" spans="1:5" customFormat="1" ht="24.95" customHeight="1" x14ac:dyDescent="0.25">
      <c r="A3221" s="241"/>
      <c r="B3221" s="243"/>
      <c r="C3221" s="241"/>
      <c r="D3221" s="241"/>
      <c r="E3221" s="241"/>
    </row>
    <row r="3222" spans="1:5" customFormat="1" ht="24.95" customHeight="1" x14ac:dyDescent="0.25">
      <c r="A3222" s="241"/>
      <c r="B3222" s="243"/>
      <c r="C3222" s="241"/>
      <c r="D3222" s="241"/>
      <c r="E3222" s="241"/>
    </row>
    <row r="3223" spans="1:5" customFormat="1" ht="24.95" customHeight="1" x14ac:dyDescent="0.25">
      <c r="A3223" s="241"/>
      <c r="B3223" s="243"/>
      <c r="C3223" s="241"/>
      <c r="D3223" s="241"/>
      <c r="E3223" s="241"/>
    </row>
    <row r="3224" spans="1:5" customFormat="1" ht="24.95" customHeight="1" x14ac:dyDescent="0.25">
      <c r="A3224" s="241"/>
      <c r="B3224" s="243"/>
      <c r="C3224" s="241"/>
      <c r="D3224" s="241"/>
      <c r="E3224" s="241"/>
    </row>
    <row r="3225" spans="1:5" customFormat="1" ht="24.95" customHeight="1" x14ac:dyDescent="0.25">
      <c r="A3225" s="241"/>
      <c r="B3225" s="243"/>
      <c r="C3225" s="241"/>
      <c r="D3225" s="241"/>
      <c r="E3225" s="241"/>
    </row>
    <row r="3226" spans="1:5" customFormat="1" ht="24.95" customHeight="1" x14ac:dyDescent="0.25">
      <c r="A3226" s="241"/>
      <c r="B3226" s="243"/>
      <c r="C3226" s="241"/>
      <c r="D3226" s="241"/>
      <c r="E3226" s="241"/>
    </row>
    <row r="3227" spans="1:5" customFormat="1" ht="24.95" customHeight="1" x14ac:dyDescent="0.25">
      <c r="A3227" s="241"/>
      <c r="B3227" s="243"/>
      <c r="C3227" s="241"/>
      <c r="D3227" s="241"/>
      <c r="E3227" s="241"/>
    </row>
    <row r="3228" spans="1:5" customFormat="1" ht="24.95" customHeight="1" x14ac:dyDescent="0.25">
      <c r="A3228" s="241"/>
      <c r="B3228" s="243"/>
      <c r="C3228" s="241"/>
      <c r="D3228" s="241"/>
      <c r="E3228" s="241"/>
    </row>
    <row r="3229" spans="1:5" customFormat="1" ht="24.95" customHeight="1" x14ac:dyDescent="0.25">
      <c r="A3229" s="241"/>
      <c r="B3229" s="243"/>
      <c r="C3229" s="241"/>
      <c r="D3229" s="241"/>
      <c r="E3229" s="241"/>
    </row>
    <row r="3230" spans="1:5" customFormat="1" ht="24.95" customHeight="1" x14ac:dyDescent="0.25">
      <c r="A3230" s="241"/>
      <c r="B3230" s="243"/>
      <c r="C3230" s="241"/>
      <c r="D3230" s="241"/>
      <c r="E3230" s="241"/>
    </row>
    <row r="3231" spans="1:5" customFormat="1" ht="24.95" customHeight="1" x14ac:dyDescent="0.25">
      <c r="A3231" s="241"/>
      <c r="B3231" s="243"/>
      <c r="C3231" s="241"/>
      <c r="D3231" s="241"/>
      <c r="E3231" s="241"/>
    </row>
    <row r="3232" spans="1:5" customFormat="1" ht="24.95" customHeight="1" x14ac:dyDescent="0.25">
      <c r="A3232" s="241"/>
      <c r="B3232" s="243"/>
      <c r="C3232" s="241"/>
      <c r="D3232" s="241"/>
      <c r="E3232" s="241"/>
    </row>
    <row r="3233" spans="1:5" customFormat="1" ht="24.95" customHeight="1" x14ac:dyDescent="0.25">
      <c r="A3233" s="241"/>
      <c r="B3233" s="243"/>
      <c r="C3233" s="241"/>
      <c r="D3233" s="241"/>
      <c r="E3233" s="241"/>
    </row>
    <row r="3234" spans="1:5" customFormat="1" ht="24.95" customHeight="1" x14ac:dyDescent="0.25">
      <c r="A3234" s="241"/>
      <c r="B3234" s="243"/>
      <c r="C3234" s="241"/>
      <c r="D3234" s="241"/>
      <c r="E3234" s="241"/>
    </row>
    <row r="3235" spans="1:5" customFormat="1" ht="24.95" customHeight="1" x14ac:dyDescent="0.25">
      <c r="A3235" s="241"/>
      <c r="B3235" s="243"/>
      <c r="C3235" s="241"/>
      <c r="D3235" s="241"/>
      <c r="E3235" s="241"/>
    </row>
    <row r="3236" spans="1:5" customFormat="1" ht="24.95" customHeight="1" x14ac:dyDescent="0.25">
      <c r="A3236" s="241"/>
      <c r="B3236" s="243"/>
      <c r="C3236" s="241"/>
      <c r="D3236" s="241"/>
      <c r="E3236" s="241"/>
    </row>
    <row r="3237" spans="1:5" customFormat="1" ht="24.95" customHeight="1" x14ac:dyDescent="0.25">
      <c r="A3237" s="241"/>
      <c r="B3237" s="243"/>
      <c r="C3237" s="241"/>
      <c r="D3237" s="241"/>
      <c r="E3237" s="241"/>
    </row>
    <row r="3238" spans="1:5" customFormat="1" ht="24.95" customHeight="1" x14ac:dyDescent="0.25">
      <c r="A3238" s="241"/>
      <c r="B3238" s="243"/>
      <c r="C3238" s="241"/>
      <c r="D3238" s="241"/>
      <c r="E3238" s="241"/>
    </row>
    <row r="3239" spans="1:5" customFormat="1" ht="24.95" customHeight="1" x14ac:dyDescent="0.25">
      <c r="A3239" s="241"/>
      <c r="B3239" s="243"/>
      <c r="C3239" s="241"/>
      <c r="D3239" s="241"/>
      <c r="E3239" s="241"/>
    </row>
    <row r="3240" spans="1:5" customFormat="1" ht="24.95" customHeight="1" x14ac:dyDescent="0.25">
      <c r="A3240" s="241"/>
      <c r="B3240" s="243"/>
      <c r="C3240" s="241"/>
      <c r="D3240" s="241"/>
      <c r="E3240" s="241"/>
    </row>
    <row r="3241" spans="1:5" customFormat="1" ht="24.95" customHeight="1" x14ac:dyDescent="0.25">
      <c r="A3241" s="241"/>
      <c r="B3241" s="243"/>
      <c r="C3241" s="241"/>
      <c r="D3241" s="241"/>
      <c r="E3241" s="241"/>
    </row>
    <row r="3242" spans="1:5" customFormat="1" ht="24.95" customHeight="1" x14ac:dyDescent="0.25">
      <c r="A3242" s="241"/>
      <c r="B3242" s="243"/>
      <c r="C3242" s="241"/>
      <c r="D3242" s="241"/>
      <c r="E3242" s="241"/>
    </row>
    <row r="3243" spans="1:5" customFormat="1" ht="24.95" customHeight="1" x14ac:dyDescent="0.25">
      <c r="A3243" s="241"/>
      <c r="B3243" s="243"/>
      <c r="C3243" s="241"/>
      <c r="D3243" s="241"/>
      <c r="E3243" s="241"/>
    </row>
    <row r="3244" spans="1:5" customFormat="1" ht="24.95" customHeight="1" x14ac:dyDescent="0.25">
      <c r="A3244" s="241"/>
      <c r="B3244" s="243"/>
      <c r="C3244" s="241"/>
      <c r="D3244" s="241"/>
      <c r="E3244" s="241"/>
    </row>
    <row r="3245" spans="1:5" customFormat="1" ht="24.95" customHeight="1" x14ac:dyDescent="0.25">
      <c r="A3245" s="241"/>
      <c r="B3245" s="243"/>
      <c r="C3245" s="241"/>
      <c r="D3245" s="241"/>
      <c r="E3245" s="241"/>
    </row>
    <row r="3246" spans="1:5" customFormat="1" ht="24.95" customHeight="1" x14ac:dyDescent="0.25">
      <c r="A3246" s="241"/>
      <c r="B3246" s="243"/>
      <c r="C3246" s="241"/>
      <c r="D3246" s="241"/>
      <c r="E3246" s="241"/>
    </row>
    <row r="3247" spans="1:5" customFormat="1" ht="24.95" customHeight="1" x14ac:dyDescent="0.25">
      <c r="A3247" s="241"/>
      <c r="B3247" s="243"/>
      <c r="C3247" s="241"/>
      <c r="D3247" s="241"/>
      <c r="E3247" s="241"/>
    </row>
    <row r="3248" spans="1:5" customFormat="1" ht="24.95" customHeight="1" x14ac:dyDescent="0.25">
      <c r="A3248" s="241"/>
      <c r="B3248" s="243"/>
      <c r="C3248" s="241"/>
      <c r="D3248" s="241"/>
      <c r="E3248" s="241"/>
    </row>
    <row r="3249" spans="1:5" customFormat="1" ht="24.95" customHeight="1" x14ac:dyDescent="0.25">
      <c r="A3249" s="241"/>
      <c r="B3249" s="243"/>
      <c r="C3249" s="241"/>
      <c r="D3249" s="241"/>
      <c r="E3249" s="241"/>
    </row>
    <row r="3250" spans="1:5" customFormat="1" ht="24.95" customHeight="1" x14ac:dyDescent="0.25">
      <c r="A3250" s="241"/>
      <c r="B3250" s="243"/>
      <c r="C3250" s="241"/>
      <c r="D3250" s="241"/>
      <c r="E3250" s="241"/>
    </row>
    <row r="3251" spans="1:5" customFormat="1" ht="24.95" customHeight="1" x14ac:dyDescent="0.25">
      <c r="A3251" s="241"/>
      <c r="B3251" s="243"/>
      <c r="C3251" s="241"/>
      <c r="D3251" s="241"/>
      <c r="E3251" s="241"/>
    </row>
    <row r="3252" spans="1:5" customFormat="1" ht="24.95" customHeight="1" x14ac:dyDescent="0.25">
      <c r="A3252" s="241"/>
      <c r="B3252" s="243"/>
      <c r="C3252" s="241"/>
      <c r="D3252" s="241"/>
      <c r="E3252" s="241"/>
    </row>
    <row r="3253" spans="1:5" customFormat="1" ht="24.95" customHeight="1" x14ac:dyDescent="0.25">
      <c r="A3253" s="241"/>
      <c r="B3253" s="243"/>
      <c r="C3253" s="241"/>
      <c r="D3253" s="241"/>
      <c r="E3253" s="241"/>
    </row>
    <row r="3254" spans="1:5" customFormat="1" ht="24.95" customHeight="1" x14ac:dyDescent="0.25">
      <c r="A3254" s="241"/>
      <c r="B3254" s="243"/>
      <c r="C3254" s="241"/>
      <c r="D3254" s="241"/>
      <c r="E3254" s="241"/>
    </row>
    <row r="3255" spans="1:5" customFormat="1" ht="24.95" customHeight="1" x14ac:dyDescent="0.25">
      <c r="A3255" s="241"/>
      <c r="B3255" s="243"/>
      <c r="C3255" s="241"/>
      <c r="D3255" s="241"/>
      <c r="E3255" s="241"/>
    </row>
    <row r="3256" spans="1:5" customFormat="1" ht="24.95" customHeight="1" x14ac:dyDescent="0.25">
      <c r="A3256" s="241"/>
      <c r="B3256" s="243"/>
      <c r="C3256" s="241"/>
      <c r="D3256" s="241"/>
      <c r="E3256" s="241"/>
    </row>
    <row r="3257" spans="1:5" customFormat="1" ht="24.95" customHeight="1" x14ac:dyDescent="0.25">
      <c r="A3257" s="241"/>
      <c r="B3257" s="243"/>
      <c r="C3257" s="241"/>
      <c r="D3257" s="241"/>
      <c r="E3257" s="241"/>
    </row>
    <row r="3258" spans="1:5" customFormat="1" ht="24.95" customHeight="1" x14ac:dyDescent="0.25">
      <c r="A3258" s="241"/>
      <c r="B3258" s="243"/>
      <c r="C3258" s="241"/>
      <c r="D3258" s="241"/>
      <c r="E3258" s="241"/>
    </row>
    <row r="3259" spans="1:5" customFormat="1" ht="24.95" customHeight="1" x14ac:dyDescent="0.25">
      <c r="A3259" s="241"/>
      <c r="B3259" s="243"/>
      <c r="C3259" s="241"/>
      <c r="D3259" s="241"/>
      <c r="E3259" s="241"/>
    </row>
    <row r="3260" spans="1:5" customFormat="1" ht="24.95" customHeight="1" x14ac:dyDescent="0.25">
      <c r="A3260" s="241"/>
      <c r="B3260" s="243"/>
      <c r="C3260" s="241"/>
      <c r="D3260" s="241"/>
      <c r="E3260" s="241"/>
    </row>
    <row r="3261" spans="1:5" customFormat="1" ht="24.95" customHeight="1" x14ac:dyDescent="0.25">
      <c r="A3261" s="241"/>
      <c r="B3261" s="243"/>
      <c r="C3261" s="241"/>
      <c r="D3261" s="241"/>
      <c r="E3261" s="241"/>
    </row>
    <row r="3262" spans="1:5" customFormat="1" ht="24.95" customHeight="1" x14ac:dyDescent="0.25">
      <c r="A3262" s="241"/>
      <c r="B3262" s="243"/>
      <c r="C3262" s="241"/>
      <c r="D3262" s="241"/>
      <c r="E3262" s="241"/>
    </row>
    <row r="3263" spans="1:5" customFormat="1" ht="24.95" customHeight="1" x14ac:dyDescent="0.25">
      <c r="A3263" s="241"/>
      <c r="B3263" s="243"/>
      <c r="C3263" s="241"/>
      <c r="D3263" s="241"/>
      <c r="E3263" s="241"/>
    </row>
    <row r="3264" spans="1:5" customFormat="1" ht="24.95" customHeight="1" x14ac:dyDescent="0.25">
      <c r="A3264" s="241"/>
      <c r="B3264" s="243"/>
      <c r="C3264" s="241"/>
      <c r="D3264" s="241"/>
      <c r="E3264" s="241"/>
    </row>
    <row r="3265" spans="1:5" customFormat="1" ht="24.95" customHeight="1" x14ac:dyDescent="0.25">
      <c r="A3265" s="241"/>
      <c r="B3265" s="243"/>
      <c r="C3265" s="241"/>
      <c r="D3265" s="241"/>
      <c r="E3265" s="241"/>
    </row>
    <row r="3266" spans="1:5" customFormat="1" ht="24.95" customHeight="1" x14ac:dyDescent="0.25">
      <c r="A3266" s="241"/>
      <c r="B3266" s="243"/>
      <c r="C3266" s="241"/>
      <c r="D3266" s="241"/>
      <c r="E3266" s="241"/>
    </row>
    <row r="3267" spans="1:5" customFormat="1" ht="24.95" customHeight="1" x14ac:dyDescent="0.25">
      <c r="A3267" s="241"/>
      <c r="B3267" s="243"/>
      <c r="C3267" s="241"/>
      <c r="D3267" s="241"/>
      <c r="E3267" s="241"/>
    </row>
    <row r="3268" spans="1:5" customFormat="1" ht="24.95" customHeight="1" x14ac:dyDescent="0.25">
      <c r="A3268" s="241"/>
      <c r="B3268" s="243"/>
      <c r="C3268" s="241"/>
      <c r="D3268" s="241"/>
      <c r="E3268" s="241"/>
    </row>
    <row r="3269" spans="1:5" customFormat="1" ht="24.95" customHeight="1" x14ac:dyDescent="0.25">
      <c r="A3269" s="241"/>
      <c r="B3269" s="243"/>
      <c r="C3269" s="241"/>
      <c r="D3269" s="241"/>
      <c r="E3269" s="241"/>
    </row>
    <row r="3270" spans="1:5" customFormat="1" ht="24.95" customHeight="1" x14ac:dyDescent="0.25">
      <c r="A3270" s="241"/>
      <c r="B3270" s="243"/>
      <c r="C3270" s="241"/>
      <c r="D3270" s="241"/>
      <c r="E3270" s="241"/>
    </row>
    <row r="3271" spans="1:5" customFormat="1" ht="24.95" customHeight="1" x14ac:dyDescent="0.25">
      <c r="A3271" s="241"/>
      <c r="B3271" s="243"/>
      <c r="C3271" s="241"/>
      <c r="D3271" s="241"/>
      <c r="E3271" s="241"/>
    </row>
    <row r="3272" spans="1:5" customFormat="1" ht="24.95" customHeight="1" x14ac:dyDescent="0.25">
      <c r="A3272" s="241"/>
      <c r="B3272" s="243"/>
      <c r="C3272" s="241"/>
      <c r="D3272" s="241"/>
      <c r="E3272" s="241"/>
    </row>
    <row r="3273" spans="1:5" customFormat="1" ht="24.95" customHeight="1" x14ac:dyDescent="0.25">
      <c r="A3273" s="241"/>
      <c r="B3273" s="243"/>
      <c r="C3273" s="241"/>
      <c r="D3273" s="241"/>
      <c r="E3273" s="241"/>
    </row>
    <row r="3274" spans="1:5" customFormat="1" ht="24.95" customHeight="1" x14ac:dyDescent="0.25">
      <c r="A3274" s="241"/>
      <c r="B3274" s="243"/>
      <c r="C3274" s="241"/>
      <c r="D3274" s="241"/>
      <c r="E3274" s="241"/>
    </row>
    <row r="3275" spans="1:5" customFormat="1" ht="24.95" customHeight="1" x14ac:dyDescent="0.25">
      <c r="A3275" s="241"/>
      <c r="B3275" s="243"/>
      <c r="C3275" s="241"/>
      <c r="D3275" s="241"/>
      <c r="E3275" s="241"/>
    </row>
    <row r="3276" spans="1:5" customFormat="1" ht="24.95" customHeight="1" x14ac:dyDescent="0.25">
      <c r="A3276" s="241"/>
      <c r="B3276" s="243"/>
      <c r="C3276" s="241"/>
      <c r="D3276" s="241"/>
      <c r="E3276" s="241"/>
    </row>
    <row r="3277" spans="1:5" customFormat="1" ht="24.95" customHeight="1" x14ac:dyDescent="0.25">
      <c r="A3277" s="241"/>
      <c r="B3277" s="243"/>
      <c r="C3277" s="241"/>
      <c r="D3277" s="241"/>
      <c r="E3277" s="241"/>
    </row>
    <row r="3278" spans="1:5" customFormat="1" ht="24.95" customHeight="1" x14ac:dyDescent="0.25">
      <c r="A3278" s="241"/>
      <c r="B3278" s="243"/>
      <c r="C3278" s="241"/>
      <c r="D3278" s="241"/>
      <c r="E3278" s="241"/>
    </row>
    <row r="3279" spans="1:5" customFormat="1" ht="24.95" customHeight="1" x14ac:dyDescent="0.25">
      <c r="A3279" s="241"/>
      <c r="B3279" s="243"/>
      <c r="C3279" s="241"/>
      <c r="D3279" s="241"/>
      <c r="E3279" s="241"/>
    </row>
    <row r="3280" spans="1:5" customFormat="1" ht="24.95" customHeight="1" x14ac:dyDescent="0.25">
      <c r="A3280" s="241"/>
      <c r="B3280" s="243"/>
      <c r="C3280" s="241"/>
      <c r="D3280" s="241"/>
      <c r="E3280" s="241"/>
    </row>
    <row r="3281" spans="1:5" customFormat="1" ht="24.95" customHeight="1" x14ac:dyDescent="0.25">
      <c r="A3281" s="241"/>
      <c r="B3281" s="243"/>
      <c r="C3281" s="241"/>
      <c r="D3281" s="241"/>
      <c r="E3281" s="241"/>
    </row>
    <row r="3282" spans="1:5" customFormat="1" ht="24.95" customHeight="1" x14ac:dyDescent="0.25">
      <c r="A3282" s="241"/>
      <c r="B3282" s="243"/>
      <c r="C3282" s="241"/>
      <c r="D3282" s="241"/>
      <c r="E3282" s="241"/>
    </row>
    <row r="3283" spans="1:5" customFormat="1" ht="24.95" customHeight="1" x14ac:dyDescent="0.25">
      <c r="A3283" s="241"/>
      <c r="B3283" s="243"/>
      <c r="C3283" s="241"/>
      <c r="D3283" s="241"/>
      <c r="E3283" s="241"/>
    </row>
    <row r="3284" spans="1:5" customFormat="1" ht="24.95" customHeight="1" x14ac:dyDescent="0.25">
      <c r="A3284" s="241"/>
      <c r="B3284" s="243"/>
      <c r="C3284" s="241"/>
      <c r="D3284" s="241"/>
      <c r="E3284" s="241"/>
    </row>
    <row r="3285" spans="1:5" customFormat="1" ht="24.95" customHeight="1" x14ac:dyDescent="0.25">
      <c r="A3285" s="241"/>
      <c r="B3285" s="243"/>
      <c r="C3285" s="241"/>
      <c r="D3285" s="241"/>
      <c r="E3285" s="241"/>
    </row>
    <row r="3286" spans="1:5" customFormat="1" ht="24.95" customHeight="1" x14ac:dyDescent="0.25">
      <c r="A3286" s="241"/>
      <c r="B3286" s="243"/>
      <c r="C3286" s="241"/>
      <c r="D3286" s="241"/>
      <c r="E3286" s="241"/>
    </row>
    <row r="3287" spans="1:5" customFormat="1" ht="24.95" customHeight="1" x14ac:dyDescent="0.25">
      <c r="A3287" s="241"/>
      <c r="B3287" s="243"/>
      <c r="C3287" s="241"/>
      <c r="D3287" s="241"/>
      <c r="E3287" s="241"/>
    </row>
    <row r="3288" spans="1:5" customFormat="1" ht="24.95" customHeight="1" x14ac:dyDescent="0.25">
      <c r="A3288" s="241"/>
      <c r="B3288" s="243"/>
      <c r="C3288" s="241"/>
      <c r="D3288" s="241"/>
      <c r="E3288" s="241"/>
    </row>
    <row r="3289" spans="1:5" customFormat="1" ht="24.95" customHeight="1" x14ac:dyDescent="0.25">
      <c r="A3289" s="241"/>
      <c r="B3289" s="243"/>
      <c r="C3289" s="241"/>
      <c r="D3289" s="241"/>
      <c r="E3289" s="241"/>
    </row>
    <row r="3290" spans="1:5" customFormat="1" ht="24.95" customHeight="1" x14ac:dyDescent="0.25">
      <c r="A3290" s="241"/>
      <c r="B3290" s="243"/>
      <c r="C3290" s="241"/>
      <c r="D3290" s="241"/>
      <c r="E3290" s="241"/>
    </row>
    <row r="3291" spans="1:5" customFormat="1" ht="24.95" customHeight="1" x14ac:dyDescent="0.25">
      <c r="A3291" s="241"/>
      <c r="B3291" s="243"/>
      <c r="C3291" s="241"/>
      <c r="D3291" s="241"/>
      <c r="E3291" s="241"/>
    </row>
    <row r="3292" spans="1:5" customFormat="1" ht="24.95" customHeight="1" x14ac:dyDescent="0.25">
      <c r="A3292" s="241"/>
      <c r="B3292" s="243"/>
      <c r="C3292" s="241"/>
      <c r="D3292" s="241"/>
      <c r="E3292" s="241"/>
    </row>
    <row r="3293" spans="1:5" customFormat="1" ht="24.95" customHeight="1" x14ac:dyDescent="0.25">
      <c r="A3293" s="241"/>
      <c r="B3293" s="243"/>
      <c r="C3293" s="241"/>
      <c r="D3293" s="241"/>
      <c r="E3293" s="241"/>
    </row>
    <row r="3294" spans="1:5" customFormat="1" ht="24.95" customHeight="1" x14ac:dyDescent="0.25">
      <c r="A3294" s="241"/>
      <c r="B3294" s="243"/>
      <c r="C3294" s="241"/>
      <c r="D3294" s="241"/>
      <c r="E3294" s="241"/>
    </row>
    <row r="3295" spans="1:5" customFormat="1" ht="24.95" customHeight="1" x14ac:dyDescent="0.25">
      <c r="A3295" s="241"/>
      <c r="B3295" s="243"/>
      <c r="C3295" s="241"/>
      <c r="D3295" s="241"/>
      <c r="E3295" s="241"/>
    </row>
    <row r="3296" spans="1:5" customFormat="1" ht="24.95" customHeight="1" x14ac:dyDescent="0.25">
      <c r="A3296" s="241"/>
      <c r="B3296" s="243"/>
      <c r="C3296" s="241"/>
      <c r="D3296" s="241"/>
      <c r="E3296" s="241"/>
    </row>
    <row r="3297" spans="1:5" customFormat="1" ht="24.95" customHeight="1" x14ac:dyDescent="0.25">
      <c r="A3297" s="241"/>
      <c r="B3297" s="243"/>
      <c r="C3297" s="241"/>
      <c r="D3297" s="241"/>
      <c r="E3297" s="241"/>
    </row>
    <row r="3298" spans="1:5" customFormat="1" ht="24.95" customHeight="1" x14ac:dyDescent="0.25">
      <c r="A3298" s="241"/>
      <c r="B3298" s="243"/>
      <c r="C3298" s="241"/>
      <c r="D3298" s="241"/>
      <c r="E3298" s="241"/>
    </row>
    <row r="3299" spans="1:5" customFormat="1" ht="24.95" customHeight="1" x14ac:dyDescent="0.25">
      <c r="A3299" s="241"/>
      <c r="B3299" s="243"/>
      <c r="C3299" s="241"/>
      <c r="D3299" s="241"/>
      <c r="E3299" s="241"/>
    </row>
    <row r="3300" spans="1:5" customFormat="1" ht="24.95" customHeight="1" x14ac:dyDescent="0.25">
      <c r="A3300" s="241"/>
      <c r="B3300" s="243"/>
      <c r="C3300" s="241"/>
      <c r="D3300" s="241"/>
      <c r="E3300" s="241"/>
    </row>
    <row r="3301" spans="1:5" customFormat="1" ht="24.95" customHeight="1" x14ac:dyDescent="0.25">
      <c r="A3301" s="241"/>
      <c r="B3301" s="243"/>
      <c r="C3301" s="241"/>
      <c r="D3301" s="241"/>
      <c r="E3301" s="241"/>
    </row>
    <row r="3302" spans="1:5" customFormat="1" ht="24.95" customHeight="1" x14ac:dyDescent="0.25">
      <c r="A3302" s="241"/>
      <c r="B3302" s="243"/>
      <c r="C3302" s="241"/>
      <c r="D3302" s="241"/>
      <c r="E3302" s="241"/>
    </row>
    <row r="3303" spans="1:5" customFormat="1" ht="24.95" customHeight="1" x14ac:dyDescent="0.25">
      <c r="A3303" s="241"/>
      <c r="B3303" s="243"/>
      <c r="C3303" s="241"/>
      <c r="D3303" s="241"/>
      <c r="E3303" s="241"/>
    </row>
    <row r="3304" spans="1:5" customFormat="1" ht="24.95" customHeight="1" x14ac:dyDescent="0.25">
      <c r="A3304" s="241"/>
      <c r="B3304" s="243"/>
      <c r="C3304" s="241"/>
      <c r="D3304" s="241"/>
      <c r="E3304" s="241"/>
    </row>
    <row r="3305" spans="1:5" customFormat="1" ht="24.95" customHeight="1" x14ac:dyDescent="0.25">
      <c r="A3305" s="241"/>
      <c r="B3305" s="243"/>
      <c r="C3305" s="241"/>
      <c r="D3305" s="241"/>
      <c r="E3305" s="241"/>
    </row>
    <row r="3306" spans="1:5" customFormat="1" ht="24.95" customHeight="1" x14ac:dyDescent="0.25">
      <c r="A3306" s="241"/>
      <c r="B3306" s="243"/>
      <c r="C3306" s="241"/>
      <c r="D3306" s="241"/>
      <c r="E3306" s="241"/>
    </row>
    <row r="3307" spans="1:5" customFormat="1" ht="24.95" customHeight="1" x14ac:dyDescent="0.25">
      <c r="A3307" s="241"/>
      <c r="B3307" s="243"/>
      <c r="C3307" s="241"/>
      <c r="D3307" s="241"/>
      <c r="E3307" s="241"/>
    </row>
    <row r="3308" spans="1:5" customFormat="1" ht="24.95" customHeight="1" x14ac:dyDescent="0.25">
      <c r="A3308" s="241"/>
      <c r="B3308" s="243"/>
      <c r="C3308" s="241"/>
      <c r="D3308" s="241"/>
      <c r="E3308" s="241"/>
    </row>
    <row r="3309" spans="1:5" customFormat="1" ht="24.95" customHeight="1" x14ac:dyDescent="0.25">
      <c r="A3309" s="241"/>
      <c r="B3309" s="243"/>
      <c r="C3309" s="241"/>
      <c r="D3309" s="241"/>
      <c r="E3309" s="241"/>
    </row>
    <row r="3310" spans="1:5" customFormat="1" ht="24.95" customHeight="1" x14ac:dyDescent="0.25">
      <c r="A3310" s="241"/>
      <c r="B3310" s="243"/>
      <c r="C3310" s="241"/>
      <c r="D3310" s="241"/>
      <c r="E3310" s="241"/>
    </row>
    <row r="3311" spans="1:5" customFormat="1" ht="24.95" customHeight="1" x14ac:dyDescent="0.25">
      <c r="A3311" s="241"/>
      <c r="B3311" s="243"/>
      <c r="C3311" s="241"/>
      <c r="D3311" s="241"/>
      <c r="E3311" s="241"/>
    </row>
    <row r="3312" spans="1:5" customFormat="1" ht="24.95" customHeight="1" x14ac:dyDescent="0.25">
      <c r="A3312" s="241"/>
      <c r="B3312" s="243"/>
      <c r="C3312" s="241"/>
      <c r="D3312" s="241"/>
      <c r="E3312" s="241"/>
    </row>
    <row r="3313" spans="1:5" customFormat="1" ht="24.95" customHeight="1" x14ac:dyDescent="0.25">
      <c r="A3313" s="241"/>
      <c r="B3313" s="243"/>
      <c r="C3313" s="241"/>
      <c r="D3313" s="241"/>
      <c r="E3313" s="241"/>
    </row>
    <row r="3314" spans="1:5" customFormat="1" ht="24.95" customHeight="1" x14ac:dyDescent="0.25">
      <c r="A3314" s="241"/>
      <c r="B3314" s="243"/>
      <c r="C3314" s="241"/>
      <c r="D3314" s="241"/>
      <c r="E3314" s="241"/>
    </row>
    <row r="3315" spans="1:5" customFormat="1" ht="24.95" customHeight="1" x14ac:dyDescent="0.25">
      <c r="A3315" s="241"/>
      <c r="B3315" s="243"/>
      <c r="C3315" s="241"/>
      <c r="D3315" s="241"/>
      <c r="E3315" s="241"/>
    </row>
    <row r="3316" spans="1:5" customFormat="1" ht="24.95" customHeight="1" x14ac:dyDescent="0.25">
      <c r="A3316" s="241"/>
      <c r="B3316" s="243"/>
      <c r="C3316" s="241"/>
      <c r="D3316" s="241"/>
      <c r="E3316" s="241"/>
    </row>
    <row r="3317" spans="1:5" customFormat="1" ht="24.95" customHeight="1" x14ac:dyDescent="0.25">
      <c r="A3317" s="241"/>
      <c r="B3317" s="243"/>
      <c r="C3317" s="241"/>
      <c r="D3317" s="241"/>
      <c r="E3317" s="241"/>
    </row>
    <row r="3318" spans="1:5" customFormat="1" ht="24.95" customHeight="1" x14ac:dyDescent="0.25">
      <c r="A3318" s="241"/>
      <c r="B3318" s="243"/>
      <c r="C3318" s="241"/>
      <c r="D3318" s="241"/>
      <c r="E3318" s="241"/>
    </row>
    <row r="3319" spans="1:5" customFormat="1" ht="24.95" customHeight="1" x14ac:dyDescent="0.25">
      <c r="A3319" s="241"/>
      <c r="B3319" s="243"/>
      <c r="C3319" s="241"/>
      <c r="D3319" s="241"/>
      <c r="E3319" s="241"/>
    </row>
    <row r="3320" spans="1:5" customFormat="1" ht="24.95" customHeight="1" x14ac:dyDescent="0.25">
      <c r="A3320" s="241"/>
      <c r="B3320" s="243"/>
      <c r="C3320" s="241"/>
      <c r="D3320" s="241"/>
      <c r="E3320" s="241"/>
    </row>
    <row r="3321" spans="1:5" customFormat="1" ht="24.95" customHeight="1" x14ac:dyDescent="0.25">
      <c r="A3321" s="241"/>
      <c r="B3321" s="243"/>
      <c r="C3321" s="241"/>
      <c r="D3321" s="241"/>
      <c r="E3321" s="241"/>
    </row>
    <row r="3322" spans="1:5" customFormat="1" ht="24.95" customHeight="1" x14ac:dyDescent="0.25">
      <c r="A3322" s="241"/>
      <c r="B3322" s="243"/>
      <c r="C3322" s="241"/>
      <c r="D3322" s="241"/>
      <c r="E3322" s="241"/>
    </row>
    <row r="3323" spans="1:5" customFormat="1" ht="24.95" customHeight="1" x14ac:dyDescent="0.25">
      <c r="A3323" s="241"/>
      <c r="B3323" s="243"/>
      <c r="C3323" s="241"/>
      <c r="D3323" s="241"/>
      <c r="E3323" s="241"/>
    </row>
    <row r="3324" spans="1:5" customFormat="1" ht="24.95" customHeight="1" x14ac:dyDescent="0.25">
      <c r="A3324" s="241"/>
      <c r="B3324" s="243"/>
      <c r="C3324" s="241"/>
      <c r="D3324" s="241"/>
      <c r="E3324" s="241"/>
    </row>
    <row r="3325" spans="1:5" customFormat="1" ht="24.95" customHeight="1" x14ac:dyDescent="0.25">
      <c r="A3325" s="241"/>
      <c r="B3325" s="243"/>
      <c r="C3325" s="241"/>
      <c r="D3325" s="241"/>
      <c r="E3325" s="241"/>
    </row>
    <row r="3326" spans="1:5" customFormat="1" ht="24.95" customHeight="1" x14ac:dyDescent="0.25">
      <c r="A3326" s="241"/>
      <c r="B3326" s="243"/>
      <c r="C3326" s="241"/>
      <c r="D3326" s="241"/>
      <c r="E3326" s="241"/>
    </row>
    <row r="3327" spans="1:5" customFormat="1" ht="24.95" customHeight="1" x14ac:dyDescent="0.25">
      <c r="A3327" s="241"/>
      <c r="B3327" s="243"/>
      <c r="C3327" s="241"/>
      <c r="D3327" s="241"/>
      <c r="E3327" s="241"/>
    </row>
    <row r="3328" spans="1:5" customFormat="1" ht="24.95" customHeight="1" x14ac:dyDescent="0.25">
      <c r="A3328" s="241"/>
      <c r="B3328" s="243"/>
      <c r="C3328" s="241"/>
      <c r="D3328" s="241"/>
      <c r="E3328" s="241"/>
    </row>
    <row r="3329" spans="1:5" customFormat="1" ht="24.95" customHeight="1" x14ac:dyDescent="0.25">
      <c r="A3329" s="241"/>
      <c r="B3329" s="243"/>
      <c r="C3329" s="241"/>
      <c r="D3329" s="241"/>
      <c r="E3329" s="241"/>
    </row>
    <row r="3330" spans="1:5" customFormat="1" ht="24.95" customHeight="1" x14ac:dyDescent="0.25">
      <c r="A3330" s="241"/>
      <c r="B3330" s="243"/>
      <c r="C3330" s="241"/>
      <c r="D3330" s="241"/>
      <c r="E3330" s="241"/>
    </row>
    <row r="3331" spans="1:5" customFormat="1" ht="24.95" customHeight="1" x14ac:dyDescent="0.25">
      <c r="A3331" s="241"/>
      <c r="B3331" s="243"/>
      <c r="C3331" s="241"/>
      <c r="D3331" s="241"/>
      <c r="E3331" s="241"/>
    </row>
    <row r="3332" spans="1:5" customFormat="1" ht="24.95" customHeight="1" x14ac:dyDescent="0.25">
      <c r="A3332" s="241"/>
      <c r="B3332" s="243"/>
      <c r="C3332" s="241"/>
      <c r="D3332" s="241"/>
      <c r="E3332" s="241"/>
    </row>
    <row r="3333" spans="1:5" customFormat="1" ht="24.95" customHeight="1" x14ac:dyDescent="0.25">
      <c r="A3333" s="241"/>
      <c r="B3333" s="243"/>
      <c r="C3333" s="241"/>
      <c r="D3333" s="241"/>
      <c r="E3333" s="241"/>
    </row>
  </sheetData>
  <pageMargins left="0.70866141732283472" right="0.70866141732283472" top="0.74803149606299213" bottom="0.74803149606299213" header="0.31496062992125984" footer="0.31496062992125984"/>
  <pageSetup paperSize="9" scale="56" fitToHeight="3" orientation="portrait" r:id="rId1"/>
  <drawing r:id="rId2"/>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912596-E0C1-4773-B1EF-596AFA294039}">
  <sheetPr>
    <tabColor theme="0"/>
    <pageSetUpPr fitToPage="1"/>
  </sheetPr>
  <dimension ref="A1:AB73"/>
  <sheetViews>
    <sheetView showGridLines="0" view="pageLayout" topLeftCell="C1" zoomScale="30" zoomScaleNormal="85" zoomScalePageLayoutView="30" workbookViewId="0">
      <selection activeCell="W20" sqref="W20:W27"/>
    </sheetView>
  </sheetViews>
  <sheetFormatPr defaultColWidth="9.140625" defaultRowHeight="16.5" x14ac:dyDescent="0.3"/>
  <cols>
    <col min="1" max="1" width="12.85546875" style="1" customWidth="1"/>
    <col min="2" max="2" width="81.7109375" style="1" customWidth="1"/>
    <col min="3" max="3" width="55.140625" style="1" customWidth="1"/>
    <col min="4" max="4" width="26" style="1" customWidth="1"/>
    <col min="5" max="5" width="14.85546875" style="1" hidden="1" customWidth="1"/>
    <col min="6" max="6" width="2.85546875" style="1" hidden="1" customWidth="1"/>
    <col min="7" max="8" width="34.28515625" style="1" customWidth="1"/>
    <col min="9" max="9" width="31.42578125" style="1" customWidth="1"/>
    <col min="10" max="10" width="23.5703125" style="1" hidden="1" customWidth="1"/>
    <col min="11" max="11" width="31" style="1" hidden="1" customWidth="1"/>
    <col min="12" max="12" width="9.85546875" style="1" hidden="1" customWidth="1"/>
    <col min="13" max="17" width="9.140625" style="1" hidden="1" customWidth="1"/>
    <col min="18" max="19" width="10.85546875" style="1" hidden="1" customWidth="1"/>
    <col min="20" max="20" width="2.42578125" style="1" hidden="1" customWidth="1"/>
    <col min="21" max="22" width="34.85546875" style="1" customWidth="1"/>
    <col min="23" max="23" width="0.42578125" style="1" customWidth="1"/>
    <col min="24" max="24" width="36.7109375" style="1" customWidth="1"/>
    <col min="25" max="25" width="13.140625" style="1" bestFit="1" customWidth="1"/>
    <col min="26" max="26" width="0" style="1" hidden="1" customWidth="1"/>
    <col min="27" max="28" width="26.42578125" style="1" bestFit="1" customWidth="1"/>
    <col min="29" max="16384" width="9.140625" style="1"/>
  </cols>
  <sheetData>
    <row r="1" spans="1:28" ht="50.25" customHeight="1" x14ac:dyDescent="0.3">
      <c r="A1" s="2578" t="s">
        <v>1</v>
      </c>
      <c r="B1" s="2578"/>
      <c r="C1" s="2578"/>
      <c r="D1" s="2578"/>
      <c r="E1" s="2578"/>
      <c r="F1" s="2578"/>
      <c r="G1" s="2578"/>
      <c r="H1" s="2578"/>
      <c r="I1" s="2578"/>
      <c r="J1" s="2578"/>
      <c r="K1" s="2578"/>
      <c r="L1" s="2578"/>
      <c r="M1" s="2578"/>
      <c r="N1" s="2578"/>
      <c r="O1" s="2578"/>
      <c r="P1" s="2578"/>
      <c r="Q1" s="2578"/>
      <c r="R1" s="2578"/>
      <c r="S1" s="2578"/>
      <c r="T1" s="2578"/>
      <c r="U1" s="2578"/>
      <c r="V1" s="2578"/>
      <c r="W1" s="2578"/>
      <c r="X1" s="2578"/>
    </row>
    <row r="2" spans="1:28" ht="33.75" customHeight="1" x14ac:dyDescent="0.3">
      <c r="A2" s="2579" t="s">
        <v>2</v>
      </c>
      <c r="B2" s="2579"/>
      <c r="C2" s="2579"/>
      <c r="D2" s="2579"/>
      <c r="E2" s="2579"/>
      <c r="F2" s="2579"/>
      <c r="G2" s="2579"/>
      <c r="H2" s="2579"/>
      <c r="I2" s="2579"/>
      <c r="J2" s="2579"/>
      <c r="K2" s="2579"/>
      <c r="L2" s="2579"/>
      <c r="M2" s="2579"/>
      <c r="N2" s="2579"/>
      <c r="O2" s="2579"/>
      <c r="P2" s="2579"/>
      <c r="Q2" s="2579"/>
      <c r="R2" s="2579"/>
      <c r="S2" s="2579"/>
      <c r="T2" s="2579"/>
      <c r="U2" s="2579"/>
      <c r="V2" s="2579"/>
      <c r="W2" s="2579"/>
      <c r="X2" s="2579"/>
    </row>
    <row r="3" spans="1:28" ht="68.25" customHeight="1" x14ac:dyDescent="0.3">
      <c r="A3" s="678" t="s">
        <v>3</v>
      </c>
      <c r="B3" s="678" t="s">
        <v>4</v>
      </c>
      <c r="C3" s="678" t="s">
        <v>5</v>
      </c>
      <c r="D3" s="678" t="s">
        <v>6</v>
      </c>
      <c r="E3" s="678" t="s">
        <v>7</v>
      </c>
      <c r="F3" s="678"/>
      <c r="G3" s="678" t="s">
        <v>9</v>
      </c>
      <c r="H3" s="678" t="s">
        <v>10</v>
      </c>
      <c r="I3" s="678" t="s">
        <v>11</v>
      </c>
      <c r="J3" s="1410"/>
      <c r="K3" s="1410"/>
      <c r="L3" s="1765"/>
      <c r="M3" s="1410"/>
      <c r="N3" s="1410"/>
      <c r="O3" s="1410"/>
      <c r="P3" s="1410"/>
      <c r="Q3" s="678" t="s">
        <v>12</v>
      </c>
      <c r="R3" s="1410"/>
      <c r="S3" s="1410"/>
      <c r="T3" s="1410"/>
      <c r="U3" s="678" t="s">
        <v>2395</v>
      </c>
      <c r="V3" s="678" t="s">
        <v>2309</v>
      </c>
      <c r="W3" s="678"/>
      <c r="X3" s="678" t="s">
        <v>2479</v>
      </c>
    </row>
    <row r="4" spans="1:28" ht="134.25" customHeight="1" x14ac:dyDescent="0.3">
      <c r="A4" s="676">
        <v>1</v>
      </c>
      <c r="B4" s="675" t="s">
        <v>15</v>
      </c>
      <c r="C4" s="676" t="s">
        <v>2499</v>
      </c>
      <c r="D4" s="676" t="s">
        <v>17</v>
      </c>
      <c r="E4" s="1772">
        <v>1338995</v>
      </c>
      <c r="F4" s="1772"/>
      <c r="G4" s="1772">
        <v>1361343</v>
      </c>
      <c r="H4" s="1772">
        <v>1373761</v>
      </c>
      <c r="I4" s="1772">
        <v>1386180</v>
      </c>
      <c r="J4" s="1765"/>
      <c r="K4" s="1410">
        <v>13779</v>
      </c>
      <c r="L4" s="1410"/>
      <c r="M4" s="1410"/>
      <c r="N4" s="1410"/>
      <c r="O4" s="1410"/>
      <c r="P4" s="1410"/>
      <c r="Q4" s="1773" t="s">
        <v>18</v>
      </c>
      <c r="R4" s="1410"/>
      <c r="S4" s="1410"/>
      <c r="T4" s="1410"/>
      <c r="U4" s="1772">
        <v>1398598</v>
      </c>
      <c r="V4" s="1772">
        <v>1411016</v>
      </c>
      <c r="W4" s="1772"/>
      <c r="X4" s="1772">
        <v>1476625.5759999999</v>
      </c>
    </row>
    <row r="5" spans="1:28" ht="75" customHeight="1" x14ac:dyDescent="0.3">
      <c r="A5" s="2580">
        <v>2</v>
      </c>
      <c r="B5" s="675" t="s">
        <v>2231</v>
      </c>
      <c r="C5" s="676" t="s">
        <v>36</v>
      </c>
      <c r="D5" s="676" t="s">
        <v>2369</v>
      </c>
      <c r="E5" s="1772"/>
      <c r="F5" s="1772"/>
      <c r="G5" s="1772">
        <v>13694869</v>
      </c>
      <c r="H5" s="1772">
        <v>15021846.266426418</v>
      </c>
      <c r="I5" s="1772">
        <v>16164913</v>
      </c>
      <c r="J5" s="1765"/>
      <c r="K5" s="1410"/>
      <c r="L5" s="1410"/>
      <c r="M5" s="1410"/>
      <c r="N5" s="1410"/>
      <c r="O5" s="1410"/>
      <c r="P5" s="1410"/>
      <c r="Q5" s="1773"/>
      <c r="R5" s="1410"/>
      <c r="S5" s="1410"/>
      <c r="T5" s="1410"/>
      <c r="U5" s="1772">
        <v>17650591</v>
      </c>
      <c r="V5" s="1772">
        <v>18796955</v>
      </c>
      <c r="W5" s="1772"/>
      <c r="X5" s="1852">
        <v>20189919</v>
      </c>
    </row>
    <row r="6" spans="1:28" ht="68.25" customHeight="1" x14ac:dyDescent="0.45">
      <c r="A6" s="2580"/>
      <c r="B6" s="1588" t="s">
        <v>2581</v>
      </c>
      <c r="C6" s="2580" t="s">
        <v>19</v>
      </c>
      <c r="D6" s="2580" t="s">
        <v>20</v>
      </c>
      <c r="E6" s="1415">
        <v>6.5</v>
      </c>
      <c r="F6" s="1415"/>
      <c r="G6" s="1589">
        <v>-5.8</v>
      </c>
      <c r="H6" s="1589">
        <v>9.6999999999999993</v>
      </c>
      <c r="I6" s="1589">
        <v>7.6</v>
      </c>
      <c r="J6" s="1411"/>
      <c r="K6" s="1411"/>
      <c r="L6" s="1411"/>
      <c r="M6" s="1411"/>
      <c r="N6" s="1590"/>
      <c r="O6" s="1411"/>
      <c r="P6" s="1411"/>
      <c r="Q6" s="1591">
        <v>8.6999999999999993</v>
      </c>
      <c r="R6" s="1411"/>
      <c r="S6" s="1411"/>
      <c r="T6" s="1411"/>
      <c r="U6" s="1589">
        <v>9.1999999999999993</v>
      </c>
      <c r="V6" s="1411" t="s">
        <v>2583</v>
      </c>
      <c r="W6" s="1411"/>
      <c r="X6" s="1774" t="s">
        <v>2584</v>
      </c>
      <c r="AA6" s="884"/>
    </row>
    <row r="7" spans="1:28" ht="57" customHeight="1" x14ac:dyDescent="0.3">
      <c r="A7" s="2580"/>
      <c r="B7" s="1588" t="s">
        <v>2582</v>
      </c>
      <c r="C7" s="2580"/>
      <c r="D7" s="2580"/>
      <c r="E7" s="1410" t="s">
        <v>2303</v>
      </c>
      <c r="F7" s="1410"/>
      <c r="G7" s="1589"/>
      <c r="H7" s="1589"/>
      <c r="I7" s="1589"/>
      <c r="J7" s="1592" t="s">
        <v>26</v>
      </c>
      <c r="K7" s="1411"/>
      <c r="L7" s="1411"/>
      <c r="M7" s="1411"/>
      <c r="N7" s="1590"/>
      <c r="O7" s="1411"/>
      <c r="P7" s="1411"/>
      <c r="Q7" s="1411" t="s">
        <v>27</v>
      </c>
      <c r="R7" s="1411"/>
      <c r="S7" s="1411"/>
      <c r="T7" s="1411"/>
      <c r="U7" s="1589">
        <v>7.2</v>
      </c>
      <c r="V7" s="1411" t="s">
        <v>2768</v>
      </c>
      <c r="W7" s="1411"/>
      <c r="X7" s="1774" t="s">
        <v>2585</v>
      </c>
    </row>
    <row r="8" spans="1:28" ht="68.25" customHeight="1" x14ac:dyDescent="0.5">
      <c r="A8" s="2580">
        <v>3</v>
      </c>
      <c r="B8" s="2581" t="s">
        <v>29</v>
      </c>
      <c r="C8" s="2580" t="s">
        <v>30</v>
      </c>
      <c r="D8" s="2580" t="s">
        <v>31</v>
      </c>
      <c r="E8" s="1415">
        <v>285.20999999999998</v>
      </c>
      <c r="F8" s="1415"/>
      <c r="G8" s="1591">
        <v>310.74</v>
      </c>
      <c r="H8" s="1591">
        <v>315.7</v>
      </c>
      <c r="I8" s="1591">
        <v>329.68700000000001</v>
      </c>
      <c r="J8" s="1592" t="str">
        <f>+J7</f>
        <v>ARR-March 2023</v>
      </c>
      <c r="K8" s="1775"/>
      <c r="L8" s="1775"/>
      <c r="M8" s="1775"/>
      <c r="N8" s="1776"/>
      <c r="O8" s="1411"/>
      <c r="P8" s="1411"/>
      <c r="Q8" s="1591">
        <v>314.51</v>
      </c>
      <c r="R8" s="1411"/>
      <c r="S8" s="1411"/>
      <c r="T8" s="1411"/>
      <c r="U8" s="1590">
        <v>332.298</v>
      </c>
      <c r="V8" s="1411">
        <v>357.7</v>
      </c>
      <c r="W8" s="1411"/>
      <c r="X8" s="1774">
        <v>348.6</v>
      </c>
      <c r="AB8" s="883"/>
    </row>
    <row r="9" spans="1:28" ht="68.25" customHeight="1" x14ac:dyDescent="0.3">
      <c r="A9" s="2580"/>
      <c r="B9" s="2581"/>
      <c r="C9" s="2580"/>
      <c r="D9" s="2580"/>
      <c r="E9" s="1415"/>
      <c r="F9" s="1410"/>
      <c r="G9" s="2577" t="s">
        <v>3029</v>
      </c>
      <c r="H9" s="2577"/>
      <c r="I9" s="2577"/>
      <c r="J9" s="2577"/>
      <c r="K9" s="2577"/>
      <c r="L9" s="2577"/>
      <c r="M9" s="2577"/>
      <c r="N9" s="2577"/>
      <c r="O9" s="2577"/>
      <c r="P9" s="2577"/>
      <c r="Q9" s="2577"/>
      <c r="R9" s="2577"/>
      <c r="S9" s="2577"/>
      <c r="T9" s="2577"/>
      <c r="U9" s="2577"/>
      <c r="V9" s="1411" t="s">
        <v>33</v>
      </c>
      <c r="W9" s="1591"/>
      <c r="X9" s="1774" t="s">
        <v>2767</v>
      </c>
    </row>
    <row r="10" spans="1:28" ht="73.5" customHeight="1" x14ac:dyDescent="0.3">
      <c r="A10" s="2580"/>
      <c r="B10" s="2581"/>
      <c r="C10" s="2580"/>
      <c r="D10" s="676" t="s">
        <v>20</v>
      </c>
      <c r="E10" s="1412">
        <v>0.1</v>
      </c>
      <c r="F10" s="1412"/>
      <c r="G10" s="1777">
        <v>4.4000000000000004</v>
      </c>
      <c r="H10" s="1777">
        <f>+(H8-G8)/G8*100</f>
        <v>1.5961897406191603</v>
      </c>
      <c r="I10" s="1778">
        <v>4.4000000000000004</v>
      </c>
      <c r="J10" s="1592">
        <f>+J9</f>
        <v>0</v>
      </c>
      <c r="K10" s="1411"/>
      <c r="L10" s="1411"/>
      <c r="M10" s="1411"/>
      <c r="N10" s="1590"/>
      <c r="O10" s="1411"/>
      <c r="P10" s="1411"/>
      <c r="Q10" s="1777" t="e">
        <f>+(Q8-P8)/P8*100</f>
        <v>#DIV/0!</v>
      </c>
      <c r="R10" s="1411"/>
      <c r="S10" s="1411"/>
      <c r="T10" s="1411"/>
      <c r="U10" s="1411">
        <v>-0.2</v>
      </c>
      <c r="V10" s="1411">
        <v>7.6</v>
      </c>
      <c r="W10" s="1411"/>
      <c r="X10" s="1774">
        <v>-2.5</v>
      </c>
    </row>
    <row r="11" spans="1:28" ht="90.75" customHeight="1" x14ac:dyDescent="0.3">
      <c r="A11" s="2580">
        <v>4</v>
      </c>
      <c r="B11" s="1588" t="s">
        <v>2586</v>
      </c>
      <c r="C11" s="2580" t="s">
        <v>36</v>
      </c>
      <c r="D11" s="2580" t="s">
        <v>20</v>
      </c>
      <c r="E11" s="1593">
        <v>3.8</v>
      </c>
      <c r="F11" s="1593"/>
      <c r="G11" s="1413" t="s">
        <v>2381</v>
      </c>
      <c r="H11" s="1413">
        <v>11.4</v>
      </c>
      <c r="I11" s="1413">
        <v>5.2</v>
      </c>
      <c r="J11" s="1765">
        <f t="shared" ref="J11:J18" si="0">+J10</f>
        <v>0</v>
      </c>
      <c r="K11" s="1766"/>
      <c r="L11" s="1766"/>
      <c r="M11" s="1766"/>
      <c r="N11" s="1767"/>
      <c r="O11" s="1410"/>
      <c r="P11" s="1410"/>
      <c r="Q11" s="1413" t="s">
        <v>2769</v>
      </c>
      <c r="R11" s="1410"/>
      <c r="S11" s="1410"/>
      <c r="T11" s="1410"/>
      <c r="U11" s="1413">
        <v>5.9</v>
      </c>
      <c r="V11" s="1413">
        <v>4</v>
      </c>
      <c r="W11" s="1594"/>
      <c r="X11" s="1768">
        <v>4.0999999999999996</v>
      </c>
    </row>
    <row r="12" spans="1:28" ht="68.25" customHeight="1" x14ac:dyDescent="0.3">
      <c r="A12" s="2580"/>
      <c r="B12" s="1596" t="s">
        <v>2826</v>
      </c>
      <c r="C12" s="2580"/>
      <c r="D12" s="2580"/>
      <c r="E12" s="1595"/>
      <c r="F12" s="1593"/>
      <c r="G12" s="1413">
        <v>-7.8</v>
      </c>
      <c r="H12" s="1413">
        <v>12.2</v>
      </c>
      <c r="I12" s="1413">
        <v>5.8</v>
      </c>
      <c r="J12" s="1765"/>
      <c r="K12" s="1766"/>
      <c r="L12" s="1766"/>
      <c r="M12" s="1766"/>
      <c r="N12" s="1767"/>
      <c r="O12" s="1410"/>
      <c r="P12" s="1410"/>
      <c r="Q12" s="1413"/>
      <c r="R12" s="1410"/>
      <c r="S12" s="1410"/>
      <c r="T12" s="1410"/>
      <c r="U12" s="1413">
        <v>7.5</v>
      </c>
      <c r="V12" s="1413">
        <v>3</v>
      </c>
      <c r="W12" s="1594"/>
      <c r="X12" s="1768">
        <v>0.8</v>
      </c>
    </row>
    <row r="13" spans="1:28" ht="68.25" customHeight="1" x14ac:dyDescent="0.3">
      <c r="A13" s="2580"/>
      <c r="B13" s="1596" t="s">
        <v>2828</v>
      </c>
      <c r="C13" s="2580"/>
      <c r="D13" s="2580"/>
      <c r="E13" s="1595"/>
      <c r="F13" s="1593"/>
      <c r="G13" s="1413">
        <v>-9.6</v>
      </c>
      <c r="H13" s="1413">
        <v>11.8</v>
      </c>
      <c r="I13" s="1413">
        <v>4.7</v>
      </c>
      <c r="J13" s="1765"/>
      <c r="K13" s="1766"/>
      <c r="L13" s="1766"/>
      <c r="M13" s="1766"/>
      <c r="N13" s="1767"/>
      <c r="O13" s="1410"/>
      <c r="P13" s="1410"/>
      <c r="Q13" s="1413"/>
      <c r="R13" s="1410"/>
      <c r="S13" s="1410"/>
      <c r="T13" s="1410"/>
      <c r="U13" s="1413">
        <v>5.5</v>
      </c>
      <c r="V13" s="1413">
        <v>4.0999999999999996</v>
      </c>
      <c r="W13" s="1594"/>
      <c r="X13" s="1768">
        <v>5</v>
      </c>
    </row>
    <row r="14" spans="1:28" ht="68.25" customHeight="1" x14ac:dyDescent="0.3">
      <c r="A14" s="2580"/>
      <c r="B14" s="1596" t="s">
        <v>2827</v>
      </c>
      <c r="C14" s="2580"/>
      <c r="D14" s="2580"/>
      <c r="E14" s="1595"/>
      <c r="F14" s="1593"/>
      <c r="G14" s="1413">
        <v>-0.5</v>
      </c>
      <c r="H14" s="1413">
        <v>7.9</v>
      </c>
      <c r="I14" s="1413">
        <v>8.9</v>
      </c>
      <c r="J14" s="1765">
        <f>+J11</f>
        <v>0</v>
      </c>
      <c r="K14" s="1766"/>
      <c r="L14" s="1766"/>
      <c r="M14" s="1766"/>
      <c r="N14" s="1767"/>
      <c r="O14" s="1410"/>
      <c r="P14" s="1410"/>
      <c r="Q14" s="1413"/>
      <c r="R14" s="1410"/>
      <c r="S14" s="1410"/>
      <c r="T14" s="1410"/>
      <c r="U14" s="1413">
        <v>7.1</v>
      </c>
      <c r="V14" s="1413">
        <v>5.2</v>
      </c>
      <c r="W14" s="1594"/>
      <c r="X14" s="1768">
        <v>1.1000000000000001</v>
      </c>
    </row>
    <row r="15" spans="1:28" ht="98.25" customHeight="1" x14ac:dyDescent="0.3">
      <c r="A15" s="676">
        <v>5</v>
      </c>
      <c r="B15" s="675" t="s">
        <v>40</v>
      </c>
      <c r="C15" s="676" t="s">
        <v>19</v>
      </c>
      <c r="D15" s="676" t="s">
        <v>41</v>
      </c>
      <c r="E15" s="1413">
        <v>514.07842000000005</v>
      </c>
      <c r="F15" s="1413"/>
      <c r="G15" s="1413">
        <v>394.43588</v>
      </c>
      <c r="H15" s="1413">
        <v>611.9</v>
      </c>
      <c r="I15" s="1413">
        <v>714.24</v>
      </c>
      <c r="J15" s="1765">
        <f t="shared" si="0"/>
        <v>0</v>
      </c>
      <c r="K15" s="1410"/>
      <c r="L15" s="1410"/>
      <c r="M15" s="1410"/>
      <c r="N15" s="1410"/>
      <c r="O15" s="1410"/>
      <c r="P15" s="1410"/>
      <c r="Q15" s="1413">
        <v>611.89</v>
      </c>
      <c r="R15" s="1410"/>
      <c r="S15" s="1410"/>
      <c r="T15" s="1410"/>
      <c r="U15" s="1410">
        <v>678.2</v>
      </c>
      <c r="V15" s="1410">
        <v>720.2</v>
      </c>
      <c r="W15" s="1410"/>
      <c r="X15" s="1768">
        <v>775</v>
      </c>
    </row>
    <row r="16" spans="1:28" ht="78" customHeight="1" x14ac:dyDescent="0.3">
      <c r="A16" s="676">
        <v>6</v>
      </c>
      <c r="B16" s="675" t="s">
        <v>42</v>
      </c>
      <c r="C16" s="676" t="s">
        <v>19</v>
      </c>
      <c r="D16" s="676" t="s">
        <v>41</v>
      </c>
      <c r="E16" s="1413">
        <v>330.07808999999997</v>
      </c>
      <c r="F16" s="1413"/>
      <c r="G16" s="1413">
        <v>291.80847999999997</v>
      </c>
      <c r="H16" s="1413">
        <v>419.7</v>
      </c>
      <c r="I16" s="1413">
        <v>447.46</v>
      </c>
      <c r="J16" s="1765">
        <f t="shared" si="0"/>
        <v>0</v>
      </c>
      <c r="K16" s="1410"/>
      <c r="L16" s="1765"/>
      <c r="M16" s="1410"/>
      <c r="N16" s="1410"/>
      <c r="O16" s="1410"/>
      <c r="P16" s="1410"/>
      <c r="Q16" s="1413">
        <v>419.65</v>
      </c>
      <c r="R16" s="1410"/>
      <c r="S16" s="1410"/>
      <c r="T16" s="1410"/>
      <c r="U16" s="1410">
        <v>437.1</v>
      </c>
      <c r="V16" s="1410">
        <v>437.4</v>
      </c>
      <c r="W16" s="1410"/>
      <c r="X16" s="1768">
        <v>441.78</v>
      </c>
    </row>
    <row r="17" spans="1:26" ht="76.5" customHeight="1" x14ac:dyDescent="0.3">
      <c r="A17" s="676">
        <v>7</v>
      </c>
      <c r="B17" s="675" t="s">
        <v>2518</v>
      </c>
      <c r="C17" s="676" t="s">
        <v>19</v>
      </c>
      <c r="D17" s="676" t="s">
        <v>41</v>
      </c>
      <c r="E17" s="1414">
        <f>+E16-E15</f>
        <v>-184.00033000000008</v>
      </c>
      <c r="F17" s="1414"/>
      <c r="G17" s="1414">
        <f>+G16-G15</f>
        <v>-102.62740000000002</v>
      </c>
      <c r="H17" s="1414">
        <f>+H16-H15</f>
        <v>-192.2</v>
      </c>
      <c r="I17" s="1414">
        <f>+I16-I15</f>
        <v>-266.78000000000003</v>
      </c>
      <c r="J17" s="1765">
        <f t="shared" si="0"/>
        <v>0</v>
      </c>
      <c r="K17" s="1410"/>
      <c r="L17" s="1410"/>
      <c r="M17" s="1410"/>
      <c r="N17" s="1410"/>
      <c r="O17" s="1410"/>
      <c r="P17" s="1410"/>
      <c r="Q17" s="1414">
        <f>+Q16-Q15</f>
        <v>-192.24</v>
      </c>
      <c r="R17" s="1410"/>
      <c r="S17" s="1410"/>
      <c r="T17" s="1410"/>
      <c r="U17" s="1414">
        <f>+U16-U15</f>
        <v>-241.10000000000002</v>
      </c>
      <c r="V17" s="1414">
        <f>+V16-V15</f>
        <v>-282.80000000000007</v>
      </c>
      <c r="W17" s="1414"/>
      <c r="X17" s="1779">
        <f>+X16-X15</f>
        <v>-333.22</v>
      </c>
    </row>
    <row r="18" spans="1:26" ht="108" customHeight="1" x14ac:dyDescent="0.3">
      <c r="A18" s="676">
        <v>8</v>
      </c>
      <c r="B18" s="675" t="s">
        <v>43</v>
      </c>
      <c r="C18" s="676" t="s">
        <v>19</v>
      </c>
      <c r="D18" s="677" t="s">
        <v>44</v>
      </c>
      <c r="E18" s="1413">
        <v>119.80000000000001</v>
      </c>
      <c r="F18" s="1413"/>
      <c r="G18" s="1413">
        <v>123.4</v>
      </c>
      <c r="H18" s="1413">
        <v>139.4</v>
      </c>
      <c r="I18" s="1413">
        <v>152.51666666666668</v>
      </c>
      <c r="J18" s="1765">
        <f t="shared" si="0"/>
        <v>0</v>
      </c>
      <c r="K18" s="1410"/>
      <c r="L18" s="1410"/>
      <c r="M18" s="1410"/>
      <c r="N18" s="1410"/>
      <c r="O18" s="1410"/>
      <c r="P18" s="1410"/>
      <c r="Q18" s="1413">
        <v>139.4</v>
      </c>
      <c r="R18" s="1410"/>
      <c r="S18" s="1410"/>
      <c r="T18" s="1410"/>
      <c r="U18" s="1413">
        <v>151.80000000000001</v>
      </c>
      <c r="V18" s="1413">
        <v>154.5</v>
      </c>
      <c r="W18" s="1413"/>
      <c r="X18" s="1768">
        <v>160.80000000000001</v>
      </c>
    </row>
    <row r="19" spans="1:26" ht="75" customHeight="1" x14ac:dyDescent="0.3">
      <c r="A19" s="676">
        <v>9</v>
      </c>
      <c r="B19" s="2581" t="s">
        <v>45</v>
      </c>
      <c r="C19" s="2581"/>
      <c r="D19" s="2581"/>
      <c r="E19" s="2581"/>
      <c r="F19" s="2581"/>
      <c r="G19" s="2581"/>
      <c r="H19" s="2581"/>
      <c r="I19" s="2581"/>
      <c r="J19" s="2581"/>
      <c r="K19" s="2581"/>
      <c r="L19" s="2581"/>
      <c r="M19" s="2581"/>
      <c r="N19" s="2581"/>
      <c r="O19" s="2581"/>
      <c r="P19" s="2581"/>
      <c r="Q19" s="2581"/>
      <c r="R19" s="2581"/>
      <c r="S19" s="2581"/>
      <c r="T19" s="2581"/>
      <c r="U19" s="2581"/>
      <c r="V19" s="2581"/>
      <c r="W19" s="2581"/>
      <c r="X19" s="2581"/>
    </row>
    <row r="20" spans="1:26" ht="109.5" customHeight="1" x14ac:dyDescent="0.3">
      <c r="A20" s="2580"/>
      <c r="B20" s="675" t="s">
        <v>2228</v>
      </c>
      <c r="C20" s="2580" t="s">
        <v>47</v>
      </c>
      <c r="D20" s="676" t="s">
        <v>2493</v>
      </c>
      <c r="E20" s="1415">
        <v>299.89999999999998</v>
      </c>
      <c r="F20" s="1415"/>
      <c r="G20" s="1415">
        <v>119</v>
      </c>
      <c r="H20" s="1413">
        <v>127.7</v>
      </c>
      <c r="I20" s="1413">
        <v>121.9</v>
      </c>
      <c r="J20" s="1410"/>
      <c r="K20" s="1410" t="s">
        <v>49</v>
      </c>
      <c r="L20" s="1410"/>
      <c r="M20" s="1410"/>
      <c r="N20" s="1410"/>
      <c r="O20" s="1410"/>
      <c r="P20" s="1410"/>
      <c r="Q20" s="1413">
        <v>127.7</v>
      </c>
      <c r="R20" s="1410"/>
      <c r="S20" s="1410"/>
      <c r="T20" s="1410" t="s">
        <v>50</v>
      </c>
      <c r="U20" s="1413">
        <v>138.9</v>
      </c>
      <c r="V20" s="1413">
        <v>143</v>
      </c>
      <c r="W20" s="1413"/>
      <c r="X20" s="1768">
        <v>149.1</v>
      </c>
    </row>
    <row r="21" spans="1:26" ht="105" customHeight="1" x14ac:dyDescent="0.3">
      <c r="A21" s="2580"/>
      <c r="B21" s="675" t="s">
        <v>2227</v>
      </c>
      <c r="C21" s="2580"/>
      <c r="D21" s="677" t="s">
        <v>2494</v>
      </c>
      <c r="E21" s="1413">
        <v>907.33333333333337</v>
      </c>
      <c r="F21" s="1413"/>
      <c r="G21" s="1413">
        <v>106.67354661162712</v>
      </c>
      <c r="H21" s="1413">
        <v>114.34468524251807</v>
      </c>
      <c r="I21" s="1413">
        <v>114.34468524251807</v>
      </c>
      <c r="J21" s="1413" t="e">
        <v>#VALUE!</v>
      </c>
      <c r="K21" s="1413">
        <v>0</v>
      </c>
      <c r="L21" s="1413">
        <v>0</v>
      </c>
      <c r="M21" s="1413">
        <v>0</v>
      </c>
      <c r="N21" s="1413">
        <v>0</v>
      </c>
      <c r="O21" s="1413">
        <v>0</v>
      </c>
      <c r="P21" s="1413">
        <v>0</v>
      </c>
      <c r="Q21" s="1413">
        <v>114.34468524251807</v>
      </c>
      <c r="R21" s="1413">
        <v>0</v>
      </c>
      <c r="S21" s="1413">
        <v>0</v>
      </c>
      <c r="T21" s="1413">
        <v>0</v>
      </c>
      <c r="U21" s="1413">
        <v>129.92776057791539</v>
      </c>
      <c r="V21" s="1413">
        <v>134.7781217750258</v>
      </c>
      <c r="W21" s="1413"/>
      <c r="X21" s="1768">
        <v>136.99</v>
      </c>
    </row>
    <row r="22" spans="1:26" ht="142.5" customHeight="1" x14ac:dyDescent="0.3">
      <c r="A22" s="2580"/>
      <c r="B22" s="675" t="s">
        <v>2226</v>
      </c>
      <c r="C22" s="2580"/>
      <c r="D22" s="677" t="s">
        <v>2494</v>
      </c>
      <c r="E22" s="1413">
        <v>915.08333333333337</v>
      </c>
      <c r="F22" s="1413"/>
      <c r="G22" s="1413">
        <v>106.33094751192912</v>
      </c>
      <c r="H22" s="1413">
        <v>114.41717791411044</v>
      </c>
      <c r="I22" s="1413">
        <v>114.41717791411044</v>
      </c>
      <c r="J22" s="1413" t="e">
        <v>#VALUE!</v>
      </c>
      <c r="K22" s="1413">
        <v>0</v>
      </c>
      <c r="L22" s="1413">
        <v>0</v>
      </c>
      <c r="M22" s="1413">
        <v>0</v>
      </c>
      <c r="N22" s="1413">
        <v>0</v>
      </c>
      <c r="O22" s="1413">
        <v>0</v>
      </c>
      <c r="P22" s="1413">
        <v>0</v>
      </c>
      <c r="Q22" s="1413">
        <v>114.41717791411044</v>
      </c>
      <c r="R22" s="1413">
        <v>0</v>
      </c>
      <c r="S22" s="1413">
        <v>0</v>
      </c>
      <c r="T22" s="1413">
        <v>0</v>
      </c>
      <c r="U22" s="1413">
        <v>129.85685071574642</v>
      </c>
      <c r="V22" s="1413">
        <v>134.86707566462169</v>
      </c>
      <c r="W22" s="1413"/>
      <c r="X22" s="1768">
        <v>136.94999999999999</v>
      </c>
      <c r="Z22" s="1" t="s">
        <v>2238</v>
      </c>
    </row>
    <row r="23" spans="1:26" ht="108.75" customHeight="1" x14ac:dyDescent="0.3">
      <c r="A23" s="676">
        <v>10</v>
      </c>
      <c r="B23" s="675" t="s">
        <v>53</v>
      </c>
      <c r="C23" s="676" t="s">
        <v>54</v>
      </c>
      <c r="D23" s="676" t="s">
        <v>41</v>
      </c>
      <c r="E23" s="1416">
        <v>411.90499999999997</v>
      </c>
      <c r="F23" s="1416"/>
      <c r="G23" s="1416">
        <v>579.28499999999997</v>
      </c>
      <c r="H23" s="1416">
        <v>606.47</v>
      </c>
      <c r="I23" s="1416">
        <v>578.44000000000005</v>
      </c>
      <c r="J23" s="1765" t="s">
        <v>49</v>
      </c>
      <c r="K23" s="1410" t="s">
        <v>55</v>
      </c>
      <c r="L23" s="1410"/>
      <c r="M23" s="1410"/>
      <c r="N23" s="1410"/>
      <c r="O23" s="1410"/>
      <c r="P23" s="1410"/>
      <c r="Q23" s="1416">
        <v>617.64800000000002</v>
      </c>
      <c r="R23" s="1410"/>
      <c r="S23" s="1410"/>
      <c r="T23" s="1410"/>
      <c r="U23" s="1416">
        <v>645.6</v>
      </c>
      <c r="V23" s="1416">
        <v>665.4</v>
      </c>
      <c r="W23" s="1416"/>
      <c r="X23" s="1848">
        <v>668.05799999999999</v>
      </c>
    </row>
    <row r="24" spans="1:26" ht="86.25" customHeight="1" x14ac:dyDescent="0.3">
      <c r="A24" s="676">
        <v>11</v>
      </c>
      <c r="B24" s="1588" t="s">
        <v>56</v>
      </c>
      <c r="C24" s="1588" t="s">
        <v>57</v>
      </c>
      <c r="D24" s="1770" t="s">
        <v>58</v>
      </c>
      <c r="E24" s="1417">
        <v>269960.84999999998</v>
      </c>
      <c r="F24" s="1417"/>
      <c r="G24" s="1417">
        <v>388472</v>
      </c>
      <c r="H24" s="1417">
        <v>439355</v>
      </c>
      <c r="I24" s="1417">
        <v>493157</v>
      </c>
      <c r="J24" s="1765" t="s">
        <v>60</v>
      </c>
      <c r="K24" s="1410"/>
      <c r="L24" s="1410"/>
      <c r="M24" s="1410"/>
      <c r="N24" s="1410"/>
      <c r="O24" s="1410"/>
      <c r="P24" s="1410"/>
      <c r="Q24" s="1417">
        <v>429403</v>
      </c>
      <c r="R24" s="1410"/>
      <c r="S24" s="1410"/>
      <c r="T24" s="1410"/>
      <c r="U24" s="1417" t="s">
        <v>2821</v>
      </c>
      <c r="V24" s="1417" t="s">
        <v>2822</v>
      </c>
      <c r="W24" s="1417"/>
      <c r="X24" s="1850" t="s">
        <v>2823</v>
      </c>
    </row>
    <row r="25" spans="1:26" ht="101.25" customHeight="1" x14ac:dyDescent="0.3">
      <c r="A25" s="676">
        <v>12</v>
      </c>
      <c r="B25" s="1588" t="s">
        <v>65</v>
      </c>
      <c r="C25" s="1588" t="s">
        <v>57</v>
      </c>
      <c r="D25" s="1770" t="s">
        <v>58</v>
      </c>
      <c r="E25" s="1417">
        <v>8813254.1799999997</v>
      </c>
      <c r="F25" s="1417"/>
      <c r="G25" s="1417">
        <v>11739338.01</v>
      </c>
      <c r="H25" s="1417">
        <v>13158490.369999999</v>
      </c>
      <c r="I25" s="1780" t="s">
        <v>2370</v>
      </c>
      <c r="J25" s="1410"/>
      <c r="K25" s="1410"/>
      <c r="L25" s="1781"/>
      <c r="M25" s="1410"/>
      <c r="N25" s="1410"/>
      <c r="O25" s="1410"/>
      <c r="P25" s="1410"/>
      <c r="Q25" s="1417">
        <v>13158490.369999999</v>
      </c>
      <c r="R25" s="1410">
        <f>1583812.04+6401274.97</f>
        <v>7985087.0099999998</v>
      </c>
      <c r="S25" s="1410">
        <f>1738612.87+7074941.31</f>
        <v>8813554.1799999997</v>
      </c>
      <c r="T25" s="1410"/>
      <c r="U25" s="1418">
        <v>16335070</v>
      </c>
      <c r="V25" s="1782" t="s">
        <v>2771</v>
      </c>
      <c r="W25" s="1418"/>
      <c r="X25" s="1849" t="s">
        <v>2824</v>
      </c>
    </row>
    <row r="26" spans="1:26" ht="84.75" customHeight="1" x14ac:dyDescent="0.3">
      <c r="A26" s="676">
        <v>13</v>
      </c>
      <c r="B26" s="1588" t="s">
        <v>68</v>
      </c>
      <c r="C26" s="1588" t="s">
        <v>57</v>
      </c>
      <c r="D26" s="1770" t="s">
        <v>58</v>
      </c>
      <c r="E26" s="1417">
        <v>477967</v>
      </c>
      <c r="F26" s="1417"/>
      <c r="G26" s="1417">
        <v>761407.52</v>
      </c>
      <c r="H26" s="1417">
        <f>415350.81+226334.8</f>
        <v>641685.61</v>
      </c>
      <c r="I26" s="1417">
        <v>451901.37</v>
      </c>
      <c r="J26" s="1410"/>
      <c r="K26" s="1410"/>
      <c r="L26" s="1410"/>
      <c r="M26" s="1410"/>
      <c r="N26" s="1410"/>
      <c r="O26" s="1410"/>
      <c r="P26" s="1410"/>
      <c r="Q26" s="1417">
        <f>415350.81+226334.8</f>
        <v>641685.61</v>
      </c>
      <c r="R26" s="1410"/>
      <c r="S26" s="1410"/>
      <c r="T26" s="1410"/>
      <c r="U26" s="1418">
        <v>444547.2</v>
      </c>
      <c r="V26" s="1418">
        <v>402367.62</v>
      </c>
      <c r="W26" s="1418"/>
      <c r="X26" s="1851" t="s">
        <v>2825</v>
      </c>
    </row>
    <row r="27" spans="1:26" ht="84.75" customHeight="1" x14ac:dyDescent="0.3">
      <c r="A27" s="676">
        <v>14</v>
      </c>
      <c r="B27" s="1588" t="s">
        <v>70</v>
      </c>
      <c r="C27" s="1588" t="s">
        <v>57</v>
      </c>
      <c r="D27" s="1588" t="s">
        <v>71</v>
      </c>
      <c r="E27" s="1769">
        <v>3.4</v>
      </c>
      <c r="F27" s="1769"/>
      <c r="G27" s="1769">
        <v>9.1999999999999993</v>
      </c>
      <c r="H27" s="1769">
        <v>6.7</v>
      </c>
      <c r="I27" s="1769">
        <v>6.5</v>
      </c>
      <c r="J27" s="1410"/>
      <c r="K27" s="1410"/>
      <c r="L27" s="1410"/>
      <c r="M27" s="1410"/>
      <c r="N27" s="1410"/>
      <c r="O27" s="1410"/>
      <c r="P27" s="1410"/>
      <c r="Q27" s="1769">
        <v>3.4</v>
      </c>
      <c r="R27" s="1410"/>
      <c r="S27" s="1410"/>
      <c r="T27" s="1410"/>
      <c r="U27" s="1410">
        <v>5.5</v>
      </c>
      <c r="V27" s="1410">
        <v>4.8</v>
      </c>
      <c r="W27" s="1410"/>
      <c r="X27" s="1771" t="s">
        <v>2770</v>
      </c>
    </row>
    <row r="28" spans="1:26" ht="187.5" customHeight="1" x14ac:dyDescent="0.3">
      <c r="A28" s="2582" t="s">
        <v>2820</v>
      </c>
      <c r="B28" s="2582"/>
      <c r="C28" s="2582"/>
      <c r="D28" s="2582"/>
      <c r="E28" s="2582"/>
      <c r="F28" s="2582"/>
      <c r="G28" s="2582"/>
      <c r="H28" s="2582"/>
      <c r="I28" s="2582"/>
      <c r="J28" s="2582"/>
      <c r="K28" s="2582"/>
      <c r="L28" s="2582"/>
      <c r="M28" s="2582"/>
      <c r="N28" s="2582"/>
      <c r="O28" s="2582"/>
      <c r="P28" s="2582"/>
      <c r="Q28" s="2582"/>
      <c r="R28" s="2582"/>
      <c r="S28" s="2582"/>
      <c r="T28" s="2582"/>
      <c r="U28" s="2582"/>
      <c r="V28" s="2582"/>
      <c r="W28" s="2582"/>
      <c r="X28" s="2582"/>
    </row>
    <row r="30" spans="1:26" hidden="1" x14ac:dyDescent="0.3"/>
    <row r="31" spans="1:26" hidden="1" x14ac:dyDescent="0.3"/>
    <row r="32" spans="1:26" hidden="1" x14ac:dyDescent="0.3"/>
    <row r="33" spans="1:27" ht="15.75" hidden="1" customHeight="1" x14ac:dyDescent="0.3">
      <c r="A33" s="2569" t="s">
        <v>75</v>
      </c>
      <c r="B33" s="2570"/>
      <c r="C33" s="2570"/>
      <c r="D33" s="2570"/>
      <c r="E33" s="2570"/>
      <c r="F33" s="2570"/>
      <c r="G33" s="2570"/>
      <c r="H33" s="2570"/>
      <c r="I33" s="2570"/>
      <c r="J33" s="2570"/>
      <c r="K33" s="2570"/>
      <c r="L33" s="2570"/>
      <c r="M33" s="2570"/>
      <c r="N33" s="2570"/>
      <c r="O33" s="2570"/>
      <c r="P33" s="2570"/>
      <c r="Q33" s="2570"/>
      <c r="R33" s="2570"/>
      <c r="S33" s="2570"/>
      <c r="T33" s="2570"/>
      <c r="U33" s="2570"/>
      <c r="V33" s="1293"/>
      <c r="W33" s="1293"/>
    </row>
    <row r="34" spans="1:27" ht="36.75" hidden="1" customHeight="1" x14ac:dyDescent="0.3">
      <c r="A34" s="2" t="s">
        <v>3</v>
      </c>
      <c r="B34" s="2" t="s">
        <v>4</v>
      </c>
      <c r="C34" s="2" t="s">
        <v>5</v>
      </c>
      <c r="D34" s="2" t="s">
        <v>6</v>
      </c>
      <c r="E34" s="2" t="s">
        <v>7</v>
      </c>
      <c r="F34" s="251" t="s">
        <v>115</v>
      </c>
      <c r="G34" s="2" t="s">
        <v>76</v>
      </c>
      <c r="H34" s="2" t="s">
        <v>77</v>
      </c>
      <c r="I34" s="2" t="s">
        <v>11</v>
      </c>
      <c r="U34" s="2" t="s">
        <v>78</v>
      </c>
      <c r="V34" s="2"/>
      <c r="W34" s="2"/>
      <c r="X34" s="2" t="s">
        <v>14</v>
      </c>
    </row>
    <row r="35" spans="1:27" ht="34.5" hidden="1" customHeight="1" x14ac:dyDescent="0.3">
      <c r="A35" s="252">
        <v>1</v>
      </c>
      <c r="B35" s="253" t="s">
        <v>79</v>
      </c>
      <c r="C35" s="253" t="s">
        <v>80</v>
      </c>
      <c r="D35" s="252" t="s">
        <v>81</v>
      </c>
      <c r="E35" s="254">
        <v>34.203266503573005</v>
      </c>
      <c r="F35" s="255">
        <v>32.169753643166999</v>
      </c>
      <c r="G35" s="256">
        <v>30.49408880092</v>
      </c>
      <c r="H35" s="257">
        <v>29.688435178322006</v>
      </c>
      <c r="I35" s="257">
        <v>29.178678010786577</v>
      </c>
      <c r="J35" s="5">
        <v>29.356407608374997</v>
      </c>
      <c r="K35" s="5">
        <v>0</v>
      </c>
      <c r="L35" s="5">
        <v>0</v>
      </c>
      <c r="M35" s="5">
        <v>0</v>
      </c>
      <c r="N35" s="5">
        <v>0</v>
      </c>
      <c r="O35" s="5">
        <v>0</v>
      </c>
      <c r="P35" s="5">
        <v>0</v>
      </c>
      <c r="Q35" s="5">
        <v>0</v>
      </c>
      <c r="R35" s="5">
        <v>0</v>
      </c>
      <c r="S35" s="5">
        <v>0</v>
      </c>
      <c r="T35" s="5">
        <v>0</v>
      </c>
      <c r="U35" s="258">
        <v>29.356407608374997</v>
      </c>
      <c r="V35" s="258"/>
      <c r="W35" s="258"/>
      <c r="X35" s="258">
        <v>14.377249896354797</v>
      </c>
    </row>
    <row r="36" spans="1:27" hidden="1" x14ac:dyDescent="0.3">
      <c r="A36" s="252">
        <v>2</v>
      </c>
      <c r="B36" s="259" t="s">
        <v>82</v>
      </c>
      <c r="C36" s="259" t="s">
        <v>83</v>
      </c>
      <c r="D36" s="260" t="s">
        <v>81</v>
      </c>
      <c r="E36" s="261">
        <v>213.21630000000002</v>
      </c>
      <c r="F36" s="262">
        <v>214.12662683578435</v>
      </c>
      <c r="G36" s="263">
        <v>194.3</v>
      </c>
      <c r="H36" s="264">
        <v>201.7</v>
      </c>
      <c r="I36" s="264">
        <v>223.00825949358247</v>
      </c>
      <c r="J36" s="5"/>
      <c r="K36" s="5"/>
      <c r="L36" s="5"/>
      <c r="M36" s="5"/>
      <c r="N36" s="5"/>
      <c r="O36" s="5"/>
      <c r="P36" s="5"/>
      <c r="Q36" s="5"/>
      <c r="R36" s="5"/>
      <c r="S36" s="5"/>
      <c r="T36" s="5"/>
      <c r="U36" s="265">
        <v>234.3</v>
      </c>
      <c r="V36" s="265"/>
      <c r="W36" s="265"/>
      <c r="X36" s="265">
        <v>117.72859999999999</v>
      </c>
    </row>
    <row r="37" spans="1:27" hidden="1" x14ac:dyDescent="0.3">
      <c r="A37" s="252">
        <v>3</v>
      </c>
      <c r="B37" s="253" t="s">
        <v>84</v>
      </c>
      <c r="C37" s="253" t="s">
        <v>85</v>
      </c>
      <c r="D37" s="252" t="s">
        <v>81</v>
      </c>
      <c r="E37" s="266">
        <v>262.35621910515562</v>
      </c>
      <c r="F37" s="267">
        <v>262.94028950042394</v>
      </c>
      <c r="G37" s="258">
        <v>233.51303246169314</v>
      </c>
      <c r="H37" s="258">
        <v>254.30557396770462</v>
      </c>
      <c r="I37" s="258">
        <v>266.53914681394684</v>
      </c>
      <c r="J37" s="268">
        <v>18.730228417211549</v>
      </c>
      <c r="K37" s="12"/>
      <c r="L37" s="12"/>
      <c r="M37" s="12"/>
      <c r="N37" s="12"/>
      <c r="O37" s="12"/>
      <c r="P37" s="12"/>
      <c r="Q37" s="12"/>
      <c r="R37" s="12"/>
      <c r="S37" s="12"/>
      <c r="T37" s="12"/>
      <c r="U37" s="258">
        <v>276.0579877990765</v>
      </c>
      <c r="V37" s="258"/>
      <c r="W37" s="258"/>
      <c r="X37" s="258">
        <v>139.9</v>
      </c>
    </row>
    <row r="38" spans="1:27" hidden="1" x14ac:dyDescent="0.3">
      <c r="A38" s="269">
        <v>4</v>
      </c>
      <c r="B38" s="2571" t="s">
        <v>86</v>
      </c>
      <c r="C38" s="2571"/>
      <c r="D38" s="2571"/>
      <c r="E38" s="2571"/>
      <c r="F38" s="2571"/>
      <c r="G38" s="2571"/>
      <c r="H38" s="2571"/>
      <c r="I38" s="2571"/>
      <c r="J38" s="2571"/>
      <c r="K38" s="2571"/>
      <c r="L38" s="2571"/>
      <c r="M38" s="2571"/>
      <c r="N38" s="2571"/>
      <c r="O38" s="2571"/>
      <c r="P38" s="2571"/>
      <c r="Q38" s="2571"/>
      <c r="R38" s="2571"/>
      <c r="S38" s="2571"/>
      <c r="T38" s="2571"/>
      <c r="U38" s="2571"/>
      <c r="V38" s="1318"/>
      <c r="W38" s="1318"/>
      <c r="X38" s="270"/>
    </row>
    <row r="39" spans="1:27" hidden="1" x14ac:dyDescent="0.3">
      <c r="A39" s="2572"/>
      <c r="B39" s="253" t="s">
        <v>87</v>
      </c>
      <c r="C39" s="253" t="s">
        <v>85</v>
      </c>
      <c r="D39" s="252" t="s">
        <v>41</v>
      </c>
      <c r="E39" s="271">
        <v>111.91467188589772</v>
      </c>
      <c r="F39" s="272">
        <v>101.37619315806718</v>
      </c>
      <c r="G39" s="258">
        <v>62.248046946401743</v>
      </c>
      <c r="H39" s="258">
        <v>120.67515291795257</v>
      </c>
      <c r="I39" s="258">
        <v>157.53102411079601</v>
      </c>
      <c r="J39" s="12">
        <v>133.3664296536474</v>
      </c>
      <c r="K39" s="12"/>
      <c r="L39" s="12"/>
      <c r="M39" s="12"/>
      <c r="N39" s="12"/>
      <c r="O39" s="12"/>
      <c r="P39" s="12"/>
      <c r="Q39" s="12"/>
      <c r="R39" s="12"/>
      <c r="S39" s="12"/>
      <c r="T39" s="12"/>
      <c r="U39" s="258">
        <v>133.36642965364751</v>
      </c>
      <c r="V39" s="258"/>
      <c r="W39" s="258"/>
      <c r="X39" s="273">
        <v>71.04686231157487</v>
      </c>
    </row>
    <row r="40" spans="1:27" hidden="1" x14ac:dyDescent="0.3">
      <c r="A40" s="2573"/>
      <c r="B40" s="274" t="s">
        <v>88</v>
      </c>
      <c r="C40" s="275" t="s">
        <v>89</v>
      </c>
      <c r="D40" s="276" t="s">
        <v>41</v>
      </c>
      <c r="E40" s="277">
        <v>16.340789823297023</v>
      </c>
      <c r="F40" s="278">
        <v>17.688678629451939</v>
      </c>
      <c r="G40" s="276">
        <v>14.770234822447883</v>
      </c>
      <c r="H40" s="276">
        <v>23.655583237171101</v>
      </c>
      <c r="I40" s="279">
        <v>26.912496992363387</v>
      </c>
      <c r="J40" s="5">
        <v>22.932567961932161</v>
      </c>
      <c r="K40" s="5"/>
      <c r="L40" s="5"/>
      <c r="M40" s="5"/>
      <c r="N40" s="5"/>
      <c r="O40" s="5"/>
      <c r="P40" s="5"/>
      <c r="Q40" s="5"/>
      <c r="R40" s="5"/>
      <c r="S40" s="5"/>
      <c r="T40" s="5"/>
      <c r="U40" s="276">
        <v>22.932567961932161</v>
      </c>
      <c r="V40" s="276"/>
      <c r="W40" s="276"/>
      <c r="X40" s="280">
        <v>12.046886149854464</v>
      </c>
    </row>
    <row r="41" spans="1:27" ht="31.5" hidden="1" x14ac:dyDescent="0.3">
      <c r="A41" s="2573"/>
      <c r="B41" s="281" t="s">
        <v>90</v>
      </c>
      <c r="C41" s="282" t="s">
        <v>89</v>
      </c>
      <c r="D41" s="258" t="s">
        <v>41</v>
      </c>
      <c r="E41" s="271">
        <f>+E39+E40</f>
        <v>128.25546170919475</v>
      </c>
      <c r="F41" s="272">
        <f>+F39+F40</f>
        <v>119.06487178751912</v>
      </c>
      <c r="G41" s="258">
        <f>+G39+G40</f>
        <v>77.018281768849619</v>
      </c>
      <c r="H41" s="258">
        <f>+H39+H40</f>
        <v>144.33073615512367</v>
      </c>
      <c r="I41" s="257">
        <f>+I39+I40</f>
        <v>184.44352110315941</v>
      </c>
      <c r="J41" s="5"/>
      <c r="K41" s="5"/>
      <c r="L41" s="5"/>
      <c r="M41" s="5"/>
      <c r="N41" s="5"/>
      <c r="O41" s="5"/>
      <c r="P41" s="5"/>
      <c r="Q41" s="5"/>
      <c r="R41" s="5"/>
      <c r="S41" s="5"/>
      <c r="T41" s="5"/>
      <c r="U41" s="258">
        <f>+U39+U40</f>
        <v>156.29899761557968</v>
      </c>
      <c r="V41" s="258"/>
      <c r="W41" s="258"/>
      <c r="X41" s="273">
        <f>+X39+X40</f>
        <v>83.093748461429328</v>
      </c>
    </row>
    <row r="42" spans="1:27" hidden="1" x14ac:dyDescent="0.3">
      <c r="A42" s="2574"/>
      <c r="B42" s="281" t="s">
        <v>91</v>
      </c>
      <c r="C42" s="253" t="s">
        <v>85</v>
      </c>
      <c r="D42" s="258" t="s">
        <v>41</v>
      </c>
      <c r="E42" s="271">
        <v>38.23562369970972</v>
      </c>
      <c r="F42" s="272">
        <v>35.847948367938614</v>
      </c>
      <c r="G42" s="258">
        <v>21.406174738149033</v>
      </c>
      <c r="H42" s="258">
        <v>44.438069722131488</v>
      </c>
      <c r="I42" s="257">
        <v>57.323329625653784</v>
      </c>
      <c r="J42" s="5">
        <v>47.717386676601301</v>
      </c>
      <c r="K42" s="5"/>
      <c r="L42" s="5"/>
      <c r="M42" s="5"/>
      <c r="N42" s="5"/>
      <c r="O42" s="5"/>
      <c r="P42" s="5"/>
      <c r="Q42" s="5"/>
      <c r="R42" s="5"/>
      <c r="S42" s="5"/>
      <c r="T42" s="5"/>
      <c r="U42" s="258">
        <v>47.717386676601301</v>
      </c>
      <c r="V42" s="258"/>
      <c r="W42" s="258"/>
      <c r="X42" s="273">
        <v>22.125783650372977</v>
      </c>
    </row>
    <row r="43" spans="1:27" hidden="1" x14ac:dyDescent="0.3">
      <c r="A43" s="252">
        <v>5</v>
      </c>
      <c r="B43" s="253" t="s">
        <v>92</v>
      </c>
      <c r="C43" s="281" t="s">
        <v>93</v>
      </c>
      <c r="D43" s="252" t="s">
        <v>71</v>
      </c>
      <c r="E43" s="13">
        <f t="shared" ref="E43:G44" si="1">+E41/E15*100</f>
        <v>24.948618093946585</v>
      </c>
      <c r="F43" s="21" t="e">
        <f t="shared" si="1"/>
        <v>#DIV/0!</v>
      </c>
      <c r="G43" s="14">
        <f t="shared" si="1"/>
        <v>19.526185540942578</v>
      </c>
      <c r="H43" s="14">
        <v>23.5</v>
      </c>
      <c r="I43" s="15">
        <v>25.8</v>
      </c>
      <c r="J43" s="283"/>
      <c r="K43" s="5"/>
      <c r="L43" s="5"/>
      <c r="M43" s="5"/>
      <c r="N43" s="5"/>
      <c r="O43" s="5"/>
      <c r="P43" s="5"/>
      <c r="Q43" s="5"/>
      <c r="R43" s="5"/>
      <c r="S43" s="5"/>
      <c r="T43" s="5"/>
      <c r="U43" s="14">
        <v>23.018856402843259</v>
      </c>
      <c r="V43" s="14"/>
      <c r="W43" s="14"/>
      <c r="X43" s="14">
        <v>23.794488827182018</v>
      </c>
    </row>
    <row r="44" spans="1:27" hidden="1" x14ac:dyDescent="0.3">
      <c r="A44" s="252">
        <v>6</v>
      </c>
      <c r="B44" s="253" t="s">
        <v>94</v>
      </c>
      <c r="C44" s="281" t="s">
        <v>93</v>
      </c>
      <c r="D44" s="252" t="s">
        <v>71</v>
      </c>
      <c r="E44" s="13">
        <f t="shared" si="1"/>
        <v>11.583811485248754</v>
      </c>
      <c r="F44" s="21" t="e">
        <f t="shared" si="1"/>
        <v>#DIV/0!</v>
      </c>
      <c r="G44" s="14">
        <f t="shared" si="1"/>
        <v>7.3356931704483141</v>
      </c>
      <c r="H44" s="14">
        <v>10.6</v>
      </c>
      <c r="I44" s="15">
        <v>12.8</v>
      </c>
      <c r="J44" s="5"/>
      <c r="K44" s="5"/>
      <c r="L44" s="5"/>
      <c r="M44" s="5"/>
      <c r="N44" s="5"/>
      <c r="O44" s="5"/>
      <c r="P44" s="5"/>
      <c r="Q44" s="5"/>
      <c r="R44" s="5"/>
      <c r="S44" s="5"/>
      <c r="T44" s="5"/>
      <c r="U44" s="14">
        <v>10.901997249447451</v>
      </c>
      <c r="V44" s="14"/>
      <c r="W44" s="14"/>
      <c r="X44" s="14">
        <v>10.317057104866588</v>
      </c>
      <c r="AA44" s="1">
        <f>100-16.2</f>
        <v>83.8</v>
      </c>
    </row>
    <row r="45" spans="1:27" hidden="1" x14ac:dyDescent="0.3">
      <c r="A45" s="252">
        <v>7</v>
      </c>
      <c r="B45" s="253" t="s">
        <v>95</v>
      </c>
      <c r="C45" s="281" t="s">
        <v>96</v>
      </c>
      <c r="D45" s="252" t="s">
        <v>71</v>
      </c>
      <c r="E45" s="284">
        <v>83.8</v>
      </c>
      <c r="F45" s="285">
        <v>85</v>
      </c>
      <c r="G45" s="286">
        <v>84.4</v>
      </c>
      <c r="H45" s="286">
        <v>85.5</v>
      </c>
      <c r="I45" s="287">
        <v>87.3</v>
      </c>
      <c r="J45" s="5"/>
      <c r="K45" s="5"/>
      <c r="L45" s="5"/>
      <c r="M45" s="5"/>
      <c r="N45" s="5"/>
      <c r="O45" s="5"/>
      <c r="P45" s="5"/>
      <c r="Q45" s="5"/>
      <c r="R45" s="5"/>
      <c r="S45" s="5"/>
      <c r="T45" s="5"/>
      <c r="U45" s="286">
        <v>87.7</v>
      </c>
      <c r="V45" s="286"/>
      <c r="W45" s="286"/>
      <c r="X45" s="286">
        <v>88.24994400942893</v>
      </c>
    </row>
    <row r="46" spans="1:27" ht="15.75" hidden="1" customHeight="1" x14ac:dyDescent="0.3">
      <c r="A46" s="2575" t="s">
        <v>97</v>
      </c>
      <c r="B46" s="2576"/>
      <c r="C46" s="2576"/>
      <c r="D46" s="2576"/>
      <c r="E46" s="2576"/>
      <c r="F46" s="2576"/>
      <c r="G46" s="2576"/>
      <c r="H46" s="2576"/>
      <c r="I46" s="2576"/>
      <c r="X46" s="288"/>
    </row>
    <row r="47" spans="1:27" ht="15.75" hidden="1" customHeight="1" x14ac:dyDescent="0.3">
      <c r="A47" s="2569" t="s">
        <v>98</v>
      </c>
      <c r="B47" s="2570"/>
      <c r="C47" s="2570"/>
      <c r="D47" s="2570"/>
      <c r="E47" s="2570"/>
      <c r="F47" s="2570"/>
      <c r="G47" s="2570"/>
      <c r="H47" s="2570"/>
      <c r="I47" s="2570"/>
      <c r="J47" s="2570"/>
      <c r="K47" s="2570"/>
      <c r="L47" s="2570"/>
      <c r="M47" s="2570"/>
      <c r="N47" s="2570"/>
      <c r="O47" s="2570"/>
      <c r="P47" s="2570"/>
      <c r="Q47" s="2570"/>
      <c r="R47" s="2570"/>
      <c r="S47" s="2570"/>
      <c r="T47" s="2570"/>
      <c r="U47" s="2570"/>
      <c r="V47" s="1293"/>
      <c r="W47" s="1293"/>
    </row>
    <row r="48" spans="1:27" ht="33.75" hidden="1" customHeight="1" x14ac:dyDescent="0.3">
      <c r="A48" s="2" t="s">
        <v>3</v>
      </c>
      <c r="B48" s="2" t="s">
        <v>4</v>
      </c>
      <c r="C48" s="2" t="s">
        <v>5</v>
      </c>
      <c r="D48" s="2" t="s">
        <v>6</v>
      </c>
      <c r="E48" s="289" t="s">
        <v>7</v>
      </c>
      <c r="F48" s="251" t="s">
        <v>115</v>
      </c>
      <c r="G48" s="289" t="s">
        <v>76</v>
      </c>
      <c r="H48" s="289" t="s">
        <v>77</v>
      </c>
      <c r="I48" s="289" t="s">
        <v>99</v>
      </c>
      <c r="U48" s="2" t="s">
        <v>78</v>
      </c>
      <c r="V48" s="2"/>
      <c r="W48" s="2"/>
      <c r="X48" s="2" t="s">
        <v>14</v>
      </c>
    </row>
    <row r="49" spans="1:24" hidden="1" x14ac:dyDescent="0.3">
      <c r="A49" s="252">
        <v>1</v>
      </c>
      <c r="B49" s="16" t="s">
        <v>100</v>
      </c>
      <c r="C49" s="290" t="s">
        <v>80</v>
      </c>
      <c r="D49" s="291" t="s">
        <v>101</v>
      </c>
      <c r="E49" s="292">
        <v>32873</v>
      </c>
      <c r="F49" s="293">
        <v>31184</v>
      </c>
      <c r="G49" s="294">
        <v>28672</v>
      </c>
      <c r="H49" s="294">
        <v>34024</v>
      </c>
      <c r="I49" s="294">
        <v>34450</v>
      </c>
      <c r="U49" s="294">
        <v>36438</v>
      </c>
      <c r="V49" s="294"/>
      <c r="W49" s="294"/>
      <c r="X49" s="294">
        <v>18160.116489</v>
      </c>
    </row>
    <row r="50" spans="1:24" hidden="1" x14ac:dyDescent="0.3">
      <c r="A50" s="252">
        <v>2</v>
      </c>
      <c r="B50" s="16" t="s">
        <v>102</v>
      </c>
      <c r="C50" s="290" t="s">
        <v>80</v>
      </c>
      <c r="D50" s="291" t="s">
        <v>101</v>
      </c>
      <c r="E50" s="292">
        <v>32056</v>
      </c>
      <c r="F50" s="293">
        <v>30257</v>
      </c>
      <c r="G50" s="294">
        <v>27784</v>
      </c>
      <c r="H50" s="294">
        <v>33131</v>
      </c>
      <c r="I50" s="294">
        <v>33664</v>
      </c>
      <c r="U50" s="294">
        <v>35717</v>
      </c>
      <c r="V50" s="294"/>
      <c r="W50" s="294"/>
      <c r="X50" s="294">
        <v>17875.177147811002</v>
      </c>
    </row>
    <row r="51" spans="1:24" hidden="1" x14ac:dyDescent="0.3">
      <c r="A51" s="252">
        <v>3</v>
      </c>
      <c r="B51" s="16" t="s">
        <v>103</v>
      </c>
      <c r="C51" s="295" t="s">
        <v>104</v>
      </c>
      <c r="D51" s="291" t="s">
        <v>101</v>
      </c>
      <c r="E51" s="292">
        <v>28740</v>
      </c>
      <c r="F51" s="293">
        <v>33887</v>
      </c>
      <c r="G51" s="294">
        <v>33198</v>
      </c>
      <c r="H51" s="294">
        <v>31028</v>
      </c>
      <c r="I51" s="294">
        <v>26304</v>
      </c>
      <c r="U51" s="294">
        <v>30917</v>
      </c>
      <c r="V51" s="294"/>
      <c r="W51" s="294"/>
      <c r="X51" s="294">
        <v>18974.853928</v>
      </c>
    </row>
    <row r="52" spans="1:24" ht="31.5" hidden="1" x14ac:dyDescent="0.3">
      <c r="A52" s="252">
        <v>4</v>
      </c>
      <c r="B52" s="16" t="s">
        <v>105</v>
      </c>
      <c r="C52" s="296"/>
      <c r="D52" s="291" t="s">
        <v>101</v>
      </c>
      <c r="E52" s="294">
        <v>60796</v>
      </c>
      <c r="F52" s="297">
        <v>64144</v>
      </c>
      <c r="G52" s="294">
        <v>60982</v>
      </c>
      <c r="H52" s="294">
        <v>64159</v>
      </c>
      <c r="I52" s="294">
        <v>59969</v>
      </c>
      <c r="U52" s="294">
        <v>66634</v>
      </c>
      <c r="V52" s="294"/>
      <c r="W52" s="294"/>
      <c r="X52" s="294">
        <v>36850.031075810999</v>
      </c>
    </row>
    <row r="53" spans="1:24" hidden="1" x14ac:dyDescent="0.3">
      <c r="A53" s="298">
        <v>5</v>
      </c>
      <c r="B53" s="16" t="s">
        <v>106</v>
      </c>
      <c r="C53" s="299" t="s">
        <v>96</v>
      </c>
      <c r="D53" s="291" t="s">
        <v>71</v>
      </c>
      <c r="E53" s="300">
        <f>E51/E52*100</f>
        <v>47.272846897822227</v>
      </c>
      <c r="F53" s="301">
        <f>F51/F52*100</f>
        <v>52.82957096532801</v>
      </c>
      <c r="G53" s="300">
        <f>G51/G52*100</f>
        <v>54.439014791249875</v>
      </c>
      <c r="H53" s="300">
        <f>H51/H52*100</f>
        <v>48.361102885020031</v>
      </c>
      <c r="I53" s="300">
        <f>I51/I52*100</f>
        <v>43.86266237556071</v>
      </c>
      <c r="U53" s="300">
        <v>46.4</v>
      </c>
      <c r="V53" s="300"/>
      <c r="W53" s="300"/>
      <c r="X53" s="300">
        <v>51.492097493658349</v>
      </c>
    </row>
    <row r="54" spans="1:24" hidden="1" x14ac:dyDescent="0.3">
      <c r="A54" s="2567" t="s">
        <v>107</v>
      </c>
      <c r="B54" s="2568"/>
      <c r="C54" s="2568"/>
      <c r="D54" s="2568"/>
      <c r="E54" s="2568"/>
      <c r="F54" s="2568"/>
      <c r="G54" s="302"/>
      <c r="H54" s="302"/>
      <c r="I54" s="302"/>
      <c r="X54" s="288"/>
    </row>
    <row r="55" spans="1:24" hidden="1" x14ac:dyDescent="0.3"/>
    <row r="56" spans="1:24" hidden="1" x14ac:dyDescent="0.3"/>
    <row r="57" spans="1:24" hidden="1" x14ac:dyDescent="0.3"/>
    <row r="58" spans="1:24" hidden="1" x14ac:dyDescent="0.3"/>
    <row r="59" spans="1:24" hidden="1" x14ac:dyDescent="0.3"/>
    <row r="60" spans="1:24" hidden="1" x14ac:dyDescent="0.3"/>
    <row r="61" spans="1:24" hidden="1" x14ac:dyDescent="0.3"/>
    <row r="62" spans="1:24" ht="1.5" customHeight="1" x14ac:dyDescent="0.3"/>
    <row r="63" spans="1:24" hidden="1" x14ac:dyDescent="0.3"/>
    <row r="64" spans="1:24" hidden="1" x14ac:dyDescent="0.3"/>
    <row r="65" spans="1:1" hidden="1" x14ac:dyDescent="0.3"/>
    <row r="66" spans="1:1" hidden="1" x14ac:dyDescent="0.3"/>
    <row r="67" spans="1:1" hidden="1" x14ac:dyDescent="0.3"/>
    <row r="68" spans="1:1" hidden="1" x14ac:dyDescent="0.3"/>
    <row r="69" spans="1:1" hidden="1" x14ac:dyDescent="0.3"/>
    <row r="70" spans="1:1" hidden="1" x14ac:dyDescent="0.3"/>
    <row r="71" spans="1:1" hidden="1" x14ac:dyDescent="0.3"/>
    <row r="72" spans="1:1" hidden="1" x14ac:dyDescent="0.3"/>
    <row r="73" spans="1:1" hidden="1" x14ac:dyDescent="0.3">
      <c r="A73" t="s">
        <v>108</v>
      </c>
    </row>
  </sheetData>
  <mergeCells count="23">
    <mergeCell ref="A47:U47"/>
    <mergeCell ref="A54:F54"/>
    <mergeCell ref="A28:X28"/>
    <mergeCell ref="B38:U38"/>
    <mergeCell ref="A39:A42"/>
    <mergeCell ref="A46:I46"/>
    <mergeCell ref="B19:X19"/>
    <mergeCell ref="D11:D14"/>
    <mergeCell ref="A11:A14"/>
    <mergeCell ref="A33:U33"/>
    <mergeCell ref="A20:A22"/>
    <mergeCell ref="C20:C22"/>
    <mergeCell ref="C11:C14"/>
    <mergeCell ref="G9:U9"/>
    <mergeCell ref="A1:X1"/>
    <mergeCell ref="A2:X2"/>
    <mergeCell ref="A5:A7"/>
    <mergeCell ref="C6:C7"/>
    <mergeCell ref="D6:D7"/>
    <mergeCell ref="A8:A10"/>
    <mergeCell ref="B8:B10"/>
    <mergeCell ref="C8:C10"/>
    <mergeCell ref="D8:D9"/>
  </mergeCells>
  <pageMargins left="0.7" right="0.7" top="0.75" bottom="0.75" header="0.3" footer="0.3"/>
  <pageSetup paperSize="9" scale="22" orientation="portrait" r:id="rId1"/>
  <legacyDrawing r:id="rId2"/>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A2799E-EA0E-4CD1-8660-E00FD8EF0726}">
  <sheetPr>
    <tabColor theme="0"/>
    <pageSetUpPr fitToPage="1"/>
  </sheetPr>
  <dimension ref="A1:AI81"/>
  <sheetViews>
    <sheetView showGridLines="0" tabSelected="1" view="pageLayout" topLeftCell="A46" zoomScale="50" zoomScaleNormal="85" zoomScalePageLayoutView="50" workbookViewId="0">
      <selection activeCell="W47" sqref="W47"/>
    </sheetView>
  </sheetViews>
  <sheetFormatPr defaultColWidth="9.140625" defaultRowHeight="16.5" x14ac:dyDescent="0.3"/>
  <cols>
    <col min="1" max="1" width="7.85546875" style="1" bestFit="1" customWidth="1"/>
    <col min="2" max="2" width="40.140625" style="1" customWidth="1"/>
    <col min="3" max="3" width="14.5703125" style="1" customWidth="1"/>
    <col min="4" max="4" width="18.5703125" style="1" customWidth="1"/>
    <col min="5" max="5" width="14.85546875" style="1" hidden="1" customWidth="1"/>
    <col min="6" max="6" width="0.140625" style="1" customWidth="1"/>
    <col min="7" max="7" width="14.85546875" style="1" bestFit="1" customWidth="1"/>
    <col min="8" max="8" width="15.28515625" style="1" customWidth="1"/>
    <col min="9" max="9" width="18.28515625" style="1" customWidth="1"/>
    <col min="10" max="10" width="23.5703125" style="1" hidden="1" customWidth="1"/>
    <col min="11" max="11" width="31" style="1" hidden="1" customWidth="1"/>
    <col min="12" max="12" width="9.85546875" style="1" hidden="1" customWidth="1"/>
    <col min="13" max="17" width="9.140625" style="1" hidden="1" customWidth="1"/>
    <col min="18" max="19" width="10.85546875" style="1" hidden="1" customWidth="1"/>
    <col min="20" max="20" width="9.140625" style="1" hidden="1" customWidth="1"/>
    <col min="21" max="21" width="20.85546875" style="1" customWidth="1"/>
    <col min="22" max="22" width="20.42578125" style="1" customWidth="1"/>
    <col min="23" max="23" width="20.85546875" style="1" customWidth="1"/>
    <col min="24" max="24" width="13.140625" style="1" bestFit="1" customWidth="1"/>
    <col min="25" max="25" width="14.5703125" style="1" bestFit="1" customWidth="1"/>
    <col min="26" max="26" width="0" style="1" hidden="1" customWidth="1"/>
    <col min="27" max="29" width="9.140625" style="1"/>
    <col min="30" max="30" width="19.7109375" style="1" customWidth="1"/>
    <col min="31" max="31" width="18.140625" style="1" customWidth="1"/>
    <col min="32" max="32" width="18.5703125" style="1" customWidth="1"/>
    <col min="33" max="33" width="14" style="1" customWidth="1"/>
    <col min="34" max="34" width="14.7109375" style="1" customWidth="1"/>
    <col min="35" max="35" width="17.140625" style="1" customWidth="1"/>
    <col min="36" max="16384" width="9.140625" style="1"/>
  </cols>
  <sheetData>
    <row r="1" spans="1:23" ht="56.25" hidden="1" customHeight="1" x14ac:dyDescent="0.3">
      <c r="A1" s="2619" t="s">
        <v>1</v>
      </c>
      <c r="B1" s="2620"/>
      <c r="C1" s="2620"/>
      <c r="D1" s="2620"/>
      <c r="E1" s="2620"/>
      <c r="F1" s="2620"/>
      <c r="G1" s="2620"/>
      <c r="H1" s="2620"/>
      <c r="I1" s="2620"/>
      <c r="J1" s="2620"/>
      <c r="K1" s="2620"/>
      <c r="L1" s="2620"/>
      <c r="M1" s="2620"/>
      <c r="N1" s="2620"/>
      <c r="O1" s="2620"/>
      <c r="P1" s="2620"/>
      <c r="Q1" s="2620"/>
      <c r="R1" s="2620"/>
      <c r="S1" s="2620"/>
      <c r="T1" s="2620"/>
      <c r="U1" s="2620"/>
      <c r="V1" s="2620"/>
      <c r="W1" s="969"/>
    </row>
    <row r="2" spans="1:23" ht="56.25" hidden="1" customHeight="1" x14ac:dyDescent="0.3">
      <c r="A2" s="2621" t="s">
        <v>2</v>
      </c>
      <c r="B2" s="2622"/>
      <c r="C2" s="2622"/>
      <c r="D2" s="2622"/>
      <c r="E2" s="2622"/>
      <c r="F2" s="2622"/>
      <c r="G2" s="2622"/>
      <c r="H2" s="2622"/>
      <c r="I2" s="2622"/>
      <c r="J2" s="2622"/>
      <c r="K2" s="2622"/>
      <c r="L2" s="2622"/>
      <c r="M2" s="2622"/>
      <c r="N2" s="2622"/>
      <c r="O2" s="2622"/>
      <c r="P2" s="2622"/>
      <c r="Q2" s="2622"/>
      <c r="R2" s="2622"/>
      <c r="S2" s="2622"/>
      <c r="T2" s="2622"/>
      <c r="U2" s="2622"/>
      <c r="V2" s="2622"/>
      <c r="W2" s="970"/>
    </row>
    <row r="3" spans="1:23" ht="49.5" hidden="1" x14ac:dyDescent="0.3">
      <c r="A3" s="2" t="s">
        <v>3</v>
      </c>
      <c r="B3" s="303" t="s">
        <v>4</v>
      </c>
      <c r="C3" s="303" t="s">
        <v>5</v>
      </c>
      <c r="D3" s="2" t="s">
        <v>6</v>
      </c>
      <c r="E3" s="289" t="s">
        <v>7</v>
      </c>
      <c r="F3" s="251"/>
      <c r="G3" s="2" t="s">
        <v>9</v>
      </c>
      <c r="H3" s="2" t="s">
        <v>10</v>
      </c>
      <c r="I3" s="2" t="s">
        <v>11</v>
      </c>
      <c r="J3" s="304"/>
      <c r="K3" s="304"/>
      <c r="L3" s="3"/>
      <c r="M3" s="304"/>
      <c r="N3" s="304"/>
      <c r="O3" s="304"/>
      <c r="P3" s="304"/>
      <c r="Q3" s="2" t="s">
        <v>12</v>
      </c>
      <c r="R3" s="304"/>
      <c r="S3" s="304"/>
      <c r="T3" s="304"/>
      <c r="U3" s="2" t="s">
        <v>13</v>
      </c>
      <c r="V3" s="2" t="s">
        <v>14</v>
      </c>
      <c r="W3" s="998"/>
    </row>
    <row r="4" spans="1:23" ht="56.25" hidden="1" customHeight="1" x14ac:dyDescent="0.3">
      <c r="A4" s="252">
        <v>1</v>
      </c>
      <c r="B4" s="253" t="s">
        <v>15</v>
      </c>
      <c r="C4" s="253" t="s">
        <v>16</v>
      </c>
      <c r="D4" s="252" t="s">
        <v>17</v>
      </c>
      <c r="E4" s="305">
        <v>1338995</v>
      </c>
      <c r="F4" s="306"/>
      <c r="G4" s="305">
        <v>1353378</v>
      </c>
      <c r="H4" s="305">
        <v>1367173</v>
      </c>
      <c r="I4" s="305">
        <v>1379750</v>
      </c>
      <c r="J4" s="4"/>
      <c r="K4" s="1">
        <v>13779</v>
      </c>
      <c r="Q4" s="307" t="s">
        <v>18</v>
      </c>
      <c r="U4" s="305">
        <v>1392329</v>
      </c>
      <c r="V4" s="305">
        <v>1404911</v>
      </c>
      <c r="W4" s="999"/>
    </row>
    <row r="5" spans="1:23" ht="56.25" hidden="1" customHeight="1" x14ac:dyDescent="0.3">
      <c r="A5" s="2572">
        <v>2</v>
      </c>
      <c r="B5" s="259" t="s">
        <v>2231</v>
      </c>
      <c r="C5" s="253" t="s">
        <v>36</v>
      </c>
      <c r="D5" s="260"/>
      <c r="E5" s="308"/>
      <c r="F5" s="309"/>
      <c r="G5" s="308">
        <v>13694869</v>
      </c>
      <c r="H5" s="308">
        <v>15021846.266426418</v>
      </c>
      <c r="I5" s="308">
        <v>16071429</v>
      </c>
      <c r="J5" s="4"/>
      <c r="Q5" s="310"/>
      <c r="U5" s="305">
        <v>17381722</v>
      </c>
      <c r="V5" s="305">
        <v>4363731.8880080162</v>
      </c>
      <c r="W5" s="999"/>
    </row>
    <row r="6" spans="1:23" hidden="1" x14ac:dyDescent="0.3">
      <c r="A6" s="2573"/>
      <c r="B6" s="311" t="s">
        <v>2232</v>
      </c>
      <c r="C6" s="2571" t="s">
        <v>19</v>
      </c>
      <c r="D6" s="2572" t="s">
        <v>20</v>
      </c>
      <c r="E6" s="312">
        <v>6.5</v>
      </c>
      <c r="F6" s="313"/>
      <c r="G6" s="312">
        <v>-6.6</v>
      </c>
      <c r="H6" s="312">
        <v>9.1</v>
      </c>
      <c r="I6" s="312">
        <v>7.2</v>
      </c>
      <c r="J6" s="314"/>
      <c r="K6" s="5"/>
      <c r="N6" s="6"/>
      <c r="Q6" s="312">
        <v>8.6999999999999993</v>
      </c>
      <c r="U6" s="315">
        <v>7.6</v>
      </c>
      <c r="V6" s="316">
        <v>6.7</v>
      </c>
      <c r="W6" s="288"/>
    </row>
    <row r="7" spans="1:23" ht="47.25" hidden="1" x14ac:dyDescent="0.3">
      <c r="A7" s="2574"/>
      <c r="B7" s="317" t="s">
        <v>21</v>
      </c>
      <c r="C7" s="2571"/>
      <c r="D7" s="2574"/>
      <c r="E7" s="318" t="s">
        <v>22</v>
      </c>
      <c r="F7" s="319"/>
      <c r="G7" s="318" t="s">
        <v>23</v>
      </c>
      <c r="H7" s="318" t="s">
        <v>24</v>
      </c>
      <c r="I7" s="318" t="s">
        <v>2233</v>
      </c>
      <c r="J7" s="320" t="s">
        <v>26</v>
      </c>
      <c r="K7" s="5"/>
      <c r="N7" s="6"/>
      <c r="Q7" s="318" t="s">
        <v>27</v>
      </c>
      <c r="U7" s="318" t="s">
        <v>25</v>
      </c>
      <c r="V7" s="318" t="s">
        <v>28</v>
      </c>
      <c r="W7" s="1000"/>
    </row>
    <row r="8" spans="1:23" ht="56.25" hidden="1" customHeight="1" x14ac:dyDescent="0.3">
      <c r="A8" s="2617">
        <v>3</v>
      </c>
      <c r="B8" s="2611" t="s">
        <v>29</v>
      </c>
      <c r="C8" s="2571" t="s">
        <v>30</v>
      </c>
      <c r="D8" s="2572" t="s">
        <v>31</v>
      </c>
      <c r="E8" s="321">
        <v>285.20999999999998</v>
      </c>
      <c r="F8" s="313"/>
      <c r="G8" s="312">
        <v>310.74</v>
      </c>
      <c r="H8" s="312">
        <v>315.7</v>
      </c>
      <c r="I8" s="312">
        <v>329.68700000000001</v>
      </c>
      <c r="J8" s="320" t="str">
        <f>+J7</f>
        <v>ARR-March 2023</v>
      </c>
      <c r="K8" s="322"/>
      <c r="L8" s="323"/>
      <c r="M8" s="323"/>
      <c r="N8" s="324"/>
      <c r="Q8" s="312">
        <v>314.51</v>
      </c>
      <c r="U8" s="325">
        <v>328.85199999999998</v>
      </c>
      <c r="V8" s="325">
        <v>164.7</v>
      </c>
      <c r="W8" s="49"/>
    </row>
    <row r="9" spans="1:23" hidden="1" x14ac:dyDescent="0.3">
      <c r="A9" s="2617"/>
      <c r="B9" s="2618"/>
      <c r="C9" s="2571"/>
      <c r="D9" s="2574"/>
      <c r="E9" s="326"/>
      <c r="F9" s="319"/>
      <c r="G9" s="318"/>
      <c r="H9" s="312"/>
      <c r="I9" s="312" t="s">
        <v>32</v>
      </c>
      <c r="J9" s="320" t="str">
        <f>+J8</f>
        <v>ARR-March 2023</v>
      </c>
      <c r="K9" s="5"/>
      <c r="N9" s="6"/>
      <c r="Q9" s="312" t="s">
        <v>33</v>
      </c>
      <c r="U9" s="327" t="s">
        <v>33</v>
      </c>
      <c r="V9" s="327" t="s">
        <v>34</v>
      </c>
      <c r="W9" s="1001"/>
    </row>
    <row r="10" spans="1:23" hidden="1" x14ac:dyDescent="0.3">
      <c r="A10" s="2617"/>
      <c r="B10" s="2612"/>
      <c r="C10" s="2571"/>
      <c r="D10" s="252" t="s">
        <v>20</v>
      </c>
      <c r="E10" s="328">
        <v>0.1</v>
      </c>
      <c r="F10" s="329"/>
      <c r="G10" s="328" t="e">
        <f>+(G8-F8)/F8*100</f>
        <v>#DIV/0!</v>
      </c>
      <c r="H10" s="328">
        <f>+(H8-G8)/G8*100</f>
        <v>1.5961897406191603</v>
      </c>
      <c r="I10" s="330">
        <v>4.4000000000000004</v>
      </c>
      <c r="J10" s="320" t="str">
        <f>+J9</f>
        <v>ARR-March 2023</v>
      </c>
      <c r="K10" s="5"/>
      <c r="N10" s="6"/>
      <c r="Q10" s="328" t="e">
        <f>+(Q8-P8)/P8*100</f>
        <v>#DIV/0!</v>
      </c>
      <c r="U10" s="325">
        <v>-0.2</v>
      </c>
      <c r="V10" s="325">
        <v>10.9</v>
      </c>
      <c r="W10" s="49"/>
    </row>
    <row r="11" spans="1:23" ht="56.25" hidden="1" customHeight="1" x14ac:dyDescent="0.3">
      <c r="A11" s="2572">
        <v>4</v>
      </c>
      <c r="B11" s="2611" t="s">
        <v>35</v>
      </c>
      <c r="C11" s="2611" t="s">
        <v>36</v>
      </c>
      <c r="D11" s="2572" t="s">
        <v>20</v>
      </c>
      <c r="E11" s="2613">
        <v>3.8</v>
      </c>
      <c r="F11" s="2615"/>
      <c r="G11" s="2609" t="s">
        <v>2236</v>
      </c>
      <c r="H11" s="2609" t="s">
        <v>2235</v>
      </c>
      <c r="I11" s="2609" t="s">
        <v>37</v>
      </c>
      <c r="J11" s="331" t="str">
        <f t="shared" ref="J11:J16" si="0">+J10</f>
        <v>ARR-March 2023</v>
      </c>
      <c r="K11" s="332"/>
      <c r="L11" s="332"/>
      <c r="M11" s="332"/>
      <c r="N11" s="333"/>
      <c r="O11" s="334"/>
      <c r="P11" s="334"/>
      <c r="Q11" s="2609" t="s">
        <v>38</v>
      </c>
      <c r="R11" s="334"/>
      <c r="S11" s="334"/>
      <c r="T11" s="334"/>
      <c r="U11" s="2609" t="s">
        <v>39</v>
      </c>
      <c r="V11" s="2609" t="s">
        <v>2234</v>
      </c>
      <c r="W11" s="1002"/>
    </row>
    <row r="12" spans="1:23" ht="56.25" hidden="1" customHeight="1" x14ac:dyDescent="0.3">
      <c r="A12" s="2574"/>
      <c r="B12" s="2612"/>
      <c r="C12" s="2612"/>
      <c r="D12" s="2574"/>
      <c r="E12" s="2614"/>
      <c r="F12" s="2616"/>
      <c r="G12" s="2610"/>
      <c r="H12" s="2610"/>
      <c r="I12" s="2610"/>
      <c r="J12" s="331" t="str">
        <f t="shared" si="0"/>
        <v>ARR-March 2023</v>
      </c>
      <c r="K12" s="332"/>
      <c r="L12" s="332"/>
      <c r="M12" s="332"/>
      <c r="N12" s="333"/>
      <c r="O12" s="334"/>
      <c r="P12" s="334"/>
      <c r="Q12" s="2610"/>
      <c r="R12" s="334"/>
      <c r="S12" s="334"/>
      <c r="T12" s="334"/>
      <c r="U12" s="2610"/>
      <c r="V12" s="2610"/>
      <c r="W12" s="1002"/>
    </row>
    <row r="13" spans="1:23" hidden="1" x14ac:dyDescent="0.3">
      <c r="A13" s="335">
        <v>5</v>
      </c>
      <c r="B13" s="253" t="s">
        <v>40</v>
      </c>
      <c r="C13" s="253" t="s">
        <v>19</v>
      </c>
      <c r="D13" s="252" t="s">
        <v>41</v>
      </c>
      <c r="E13" s="336">
        <v>514.07842000000005</v>
      </c>
      <c r="F13" s="337"/>
      <c r="G13" s="336">
        <v>394.43588</v>
      </c>
      <c r="H13" s="336">
        <v>611.9</v>
      </c>
      <c r="I13" s="336">
        <v>714.24</v>
      </c>
      <c r="J13" s="320" t="str">
        <f t="shared" si="0"/>
        <v>ARR-March 2023</v>
      </c>
      <c r="Q13" s="336">
        <v>611.89</v>
      </c>
      <c r="U13" s="315">
        <v>677.2</v>
      </c>
      <c r="V13" s="316">
        <v>350.7</v>
      </c>
      <c r="W13" s="288"/>
    </row>
    <row r="14" spans="1:23" hidden="1" x14ac:dyDescent="0.3">
      <c r="A14" s="1477">
        <v>6</v>
      </c>
      <c r="B14" s="259" t="s">
        <v>42</v>
      </c>
      <c r="C14" s="259" t="s">
        <v>19</v>
      </c>
      <c r="D14" s="260" t="s">
        <v>41</v>
      </c>
      <c r="E14" s="1479">
        <v>330.07808999999997</v>
      </c>
      <c r="F14" s="1481"/>
      <c r="G14" s="1479">
        <v>291.80847999999997</v>
      </c>
      <c r="H14" s="1479">
        <v>419.7</v>
      </c>
      <c r="I14" s="1479">
        <v>447.46</v>
      </c>
      <c r="J14" s="320" t="str">
        <f t="shared" si="0"/>
        <v>ARR-March 2023</v>
      </c>
      <c r="L14" s="4"/>
      <c r="Q14" s="1479">
        <v>419.65</v>
      </c>
      <c r="U14" s="1539">
        <v>437.1</v>
      </c>
      <c r="V14" s="1540">
        <v>213.2</v>
      </c>
      <c r="W14" s="288"/>
    </row>
    <row r="15" spans="1:23" ht="76.5" customHeight="1" x14ac:dyDescent="0.3">
      <c r="A15" s="1544"/>
      <c r="B15" s="1545"/>
      <c r="C15" s="1546"/>
      <c r="D15" s="1544"/>
      <c r="E15" s="1547"/>
      <c r="F15" s="1548"/>
      <c r="G15" s="1547"/>
      <c r="H15" s="1547"/>
      <c r="I15" s="1547"/>
      <c r="J15" s="1549"/>
      <c r="Q15" s="1003"/>
      <c r="U15" s="1547"/>
      <c r="V15" s="1003"/>
      <c r="W15" s="1003"/>
    </row>
    <row r="16" spans="1:23" ht="56.25" hidden="1" customHeight="1" x14ac:dyDescent="0.3">
      <c r="A16" s="1478">
        <v>8</v>
      </c>
      <c r="B16" s="1541" t="s">
        <v>43</v>
      </c>
      <c r="C16" s="1541" t="s">
        <v>19</v>
      </c>
      <c r="D16" s="1542" t="s">
        <v>44</v>
      </c>
      <c r="E16" s="1543">
        <v>119.80000000000001</v>
      </c>
      <c r="F16" s="1482"/>
      <c r="G16" s="1543">
        <v>123.4</v>
      </c>
      <c r="H16" s="1543">
        <v>139.4</v>
      </c>
      <c r="I16" s="1543">
        <v>152.51666666666668</v>
      </c>
      <c r="J16" s="320">
        <f t="shared" si="0"/>
        <v>0</v>
      </c>
      <c r="Q16" s="1480">
        <v>139.4</v>
      </c>
      <c r="U16" s="1543">
        <v>151.80000000000001</v>
      </c>
      <c r="V16" s="1480">
        <v>154.6</v>
      </c>
      <c r="W16" s="1002"/>
    </row>
    <row r="17" spans="1:25" ht="31.5" hidden="1" x14ac:dyDescent="0.3">
      <c r="A17" s="335">
        <v>9</v>
      </c>
      <c r="B17" s="341" t="s">
        <v>45</v>
      </c>
      <c r="C17" s="342"/>
      <c r="D17" s="342"/>
      <c r="E17" s="343"/>
      <c r="F17" s="344"/>
      <c r="G17" s="343"/>
      <c r="H17" s="343"/>
      <c r="I17" s="343"/>
      <c r="J17" s="7" t="s">
        <v>46</v>
      </c>
      <c r="Q17" s="345"/>
      <c r="U17" s="315"/>
      <c r="V17" s="346"/>
      <c r="W17" s="270"/>
    </row>
    <row r="18" spans="1:25" ht="56.25" hidden="1" customHeight="1" x14ac:dyDescent="0.3">
      <c r="A18" s="2599"/>
      <c r="B18" s="338" t="s">
        <v>2228</v>
      </c>
      <c r="C18" s="2600" t="s">
        <v>47</v>
      </c>
      <c r="D18" s="335" t="s">
        <v>48</v>
      </c>
      <c r="E18" s="347">
        <v>299.89999999999998</v>
      </c>
      <c r="F18" s="348"/>
      <c r="G18" s="347">
        <v>119</v>
      </c>
      <c r="H18" s="340">
        <v>127.7</v>
      </c>
      <c r="I18" s="340">
        <v>121.9</v>
      </c>
      <c r="J18" s="349"/>
      <c r="K18" s="1" t="s">
        <v>49</v>
      </c>
      <c r="Q18" s="336">
        <v>127.7</v>
      </c>
      <c r="T18" s="1" t="s">
        <v>50</v>
      </c>
      <c r="U18" s="340">
        <v>138.9</v>
      </c>
      <c r="V18" s="336">
        <v>143.30000000000001</v>
      </c>
      <c r="W18" s="1002"/>
    </row>
    <row r="19" spans="1:25" hidden="1" x14ac:dyDescent="0.3">
      <c r="A19" s="2599"/>
      <c r="B19" s="338" t="s">
        <v>2227</v>
      </c>
      <c r="C19" s="2600"/>
      <c r="D19" s="339" t="s">
        <v>51</v>
      </c>
      <c r="E19" s="340">
        <v>907.33333333333337</v>
      </c>
      <c r="F19" s="337"/>
      <c r="G19" s="340">
        <v>1033.6666666666667</v>
      </c>
      <c r="H19" s="340">
        <v>1108</v>
      </c>
      <c r="I19" s="340">
        <v>1108</v>
      </c>
      <c r="J19" s="350" t="s">
        <v>52</v>
      </c>
      <c r="Q19" s="336">
        <v>1108</v>
      </c>
      <c r="U19" s="340">
        <v>1259</v>
      </c>
      <c r="V19" s="336">
        <v>1247</v>
      </c>
      <c r="W19" s="1002"/>
    </row>
    <row r="20" spans="1:25" ht="49.5" hidden="1" x14ac:dyDescent="0.3">
      <c r="A20" s="2599"/>
      <c r="B20" s="338" t="s">
        <v>2226</v>
      </c>
      <c r="C20" s="2600"/>
      <c r="D20" s="339" t="s">
        <v>51</v>
      </c>
      <c r="E20" s="340">
        <v>915.08333333333337</v>
      </c>
      <c r="F20" s="337"/>
      <c r="G20" s="340">
        <v>1039.9166666666667</v>
      </c>
      <c r="H20" s="340">
        <v>1119</v>
      </c>
      <c r="I20" s="340">
        <v>1119</v>
      </c>
      <c r="J20" s="351" t="s">
        <v>49</v>
      </c>
      <c r="Q20" s="336">
        <v>1119</v>
      </c>
      <c r="U20" s="340">
        <v>1270</v>
      </c>
      <c r="V20" s="336">
        <v>1254</v>
      </c>
      <c r="W20" s="1002"/>
      <c r="Y20" s="1" t="s">
        <v>2238</v>
      </c>
    </row>
    <row r="21" spans="1:25" ht="56.25" hidden="1" customHeight="1" x14ac:dyDescent="0.3">
      <c r="A21" s="335">
        <v>10</v>
      </c>
      <c r="B21" s="338" t="s">
        <v>53</v>
      </c>
      <c r="C21" s="338" t="s">
        <v>54</v>
      </c>
      <c r="D21" s="335" t="s">
        <v>41</v>
      </c>
      <c r="E21" s="352">
        <v>411.90499999999997</v>
      </c>
      <c r="F21" s="353"/>
      <c r="G21" s="352">
        <v>579.28499999999997</v>
      </c>
      <c r="H21" s="352">
        <v>606.47</v>
      </c>
      <c r="I21" s="352">
        <v>578.44000000000005</v>
      </c>
      <c r="J21" s="351" t="s">
        <v>49</v>
      </c>
      <c r="K21" s="1" t="s">
        <v>55</v>
      </c>
      <c r="Q21" s="354">
        <v>617.64800000000002</v>
      </c>
      <c r="U21" s="352">
        <v>645.6</v>
      </c>
      <c r="V21" s="354">
        <v>704.9</v>
      </c>
      <c r="W21" s="1004"/>
    </row>
    <row r="22" spans="1:25" hidden="1" x14ac:dyDescent="0.3">
      <c r="A22" s="2608">
        <v>11</v>
      </c>
      <c r="B22" s="2600" t="s">
        <v>56</v>
      </c>
      <c r="C22" s="2600" t="s">
        <v>57</v>
      </c>
      <c r="D22" s="2601" t="s">
        <v>58</v>
      </c>
      <c r="E22" s="355">
        <v>269960.84999999998</v>
      </c>
      <c r="F22" s="356"/>
      <c r="G22" s="355">
        <v>388472</v>
      </c>
      <c r="H22" s="355">
        <v>429403</v>
      </c>
      <c r="I22" s="355" t="s">
        <v>59</v>
      </c>
      <c r="J22" s="351" t="s">
        <v>60</v>
      </c>
      <c r="Q22" s="357">
        <v>429403</v>
      </c>
      <c r="U22" s="358">
        <v>537484.1</v>
      </c>
      <c r="V22" s="359"/>
      <c r="W22" s="1005"/>
    </row>
    <row r="23" spans="1:25" ht="49.5" hidden="1" x14ac:dyDescent="0.3">
      <c r="A23" s="2608"/>
      <c r="B23" s="2600"/>
      <c r="C23" s="2600"/>
      <c r="D23" s="2601"/>
      <c r="E23" s="360"/>
      <c r="F23" s="361"/>
      <c r="G23" s="360"/>
      <c r="H23" s="360"/>
      <c r="I23" s="360" t="s">
        <v>61</v>
      </c>
      <c r="J23" s="349" t="s">
        <v>62</v>
      </c>
      <c r="Q23" s="362" t="s">
        <v>63</v>
      </c>
      <c r="U23" s="363" t="s">
        <v>64</v>
      </c>
      <c r="V23" s="364"/>
      <c r="W23" s="1006"/>
    </row>
    <row r="24" spans="1:25" hidden="1" x14ac:dyDescent="0.3">
      <c r="A24" s="2599">
        <v>12</v>
      </c>
      <c r="B24" s="2600" t="s">
        <v>65</v>
      </c>
      <c r="C24" s="2600" t="s">
        <v>57</v>
      </c>
      <c r="D24" s="2601" t="s">
        <v>58</v>
      </c>
      <c r="E24" s="355">
        <v>8813254.1799999997</v>
      </c>
      <c r="F24" s="356"/>
      <c r="G24" s="355">
        <v>11739338.01</v>
      </c>
      <c r="H24" s="355">
        <v>13158490.369999999</v>
      </c>
      <c r="I24" s="8" t="s">
        <v>66</v>
      </c>
      <c r="J24" s="349"/>
      <c r="L24" s="365"/>
      <c r="Q24" s="357">
        <v>13158490.369999999</v>
      </c>
      <c r="R24" s="1">
        <f>1583812.04+6401274.97</f>
        <v>7985087.0099999998</v>
      </c>
      <c r="S24" s="1">
        <f>1738612.87+7074941.31</f>
        <v>8813554.1799999997</v>
      </c>
      <c r="U24" s="9">
        <v>16335070.060000001</v>
      </c>
      <c r="V24" s="10"/>
      <c r="W24" s="1007"/>
    </row>
    <row r="25" spans="1:25" ht="49.5" hidden="1" x14ac:dyDescent="0.3">
      <c r="A25" s="2599"/>
      <c r="B25" s="2600"/>
      <c r="C25" s="2600"/>
      <c r="D25" s="2601"/>
      <c r="E25" s="360"/>
      <c r="F25" s="361"/>
      <c r="G25" s="360"/>
      <c r="H25" s="360"/>
      <c r="I25" s="360" t="s">
        <v>67</v>
      </c>
      <c r="J25" s="349" t="s">
        <v>62</v>
      </c>
      <c r="Q25" s="362"/>
      <c r="U25" s="363" t="s">
        <v>64</v>
      </c>
      <c r="V25" s="364"/>
      <c r="W25" s="1006"/>
    </row>
    <row r="26" spans="1:25" hidden="1" x14ac:dyDescent="0.3">
      <c r="A26" s="2602">
        <v>13</v>
      </c>
      <c r="B26" s="2600" t="s">
        <v>68</v>
      </c>
      <c r="C26" s="2600" t="s">
        <v>57</v>
      </c>
      <c r="D26" s="2601" t="s">
        <v>58</v>
      </c>
      <c r="E26" s="355">
        <v>477967</v>
      </c>
      <c r="F26" s="356"/>
      <c r="G26" s="355">
        <v>761407.52</v>
      </c>
      <c r="H26" s="355">
        <f>415350.81+226334.8</f>
        <v>641685.61</v>
      </c>
      <c r="I26" s="355">
        <v>451901.37</v>
      </c>
      <c r="J26" s="349"/>
      <c r="Q26" s="357">
        <f>415350.81+226334.8</f>
        <v>641685.61</v>
      </c>
      <c r="U26" s="11">
        <v>460614.48</v>
      </c>
      <c r="V26" s="217">
        <v>505978</v>
      </c>
      <c r="W26" s="1008"/>
    </row>
    <row r="27" spans="1:25" hidden="1" x14ac:dyDescent="0.3">
      <c r="A27" s="2603"/>
      <c r="B27" s="2600"/>
      <c r="C27" s="2600"/>
      <c r="D27" s="2601"/>
      <c r="E27" s="360"/>
      <c r="F27" s="361"/>
      <c r="G27" s="360"/>
      <c r="H27" s="360"/>
      <c r="I27" s="360" t="s">
        <v>67</v>
      </c>
      <c r="J27" s="351" t="s">
        <v>69</v>
      </c>
      <c r="Q27" s="362" t="s">
        <v>63</v>
      </c>
      <c r="U27" s="358" t="s">
        <v>64</v>
      </c>
      <c r="V27" s="366" t="s">
        <v>2225</v>
      </c>
      <c r="W27" s="1009"/>
    </row>
    <row r="28" spans="1:25" hidden="1" x14ac:dyDescent="0.3">
      <c r="A28" s="2604">
        <v>14</v>
      </c>
      <c r="B28" s="2600" t="s">
        <v>70</v>
      </c>
      <c r="C28" s="2600" t="s">
        <v>57</v>
      </c>
      <c r="D28" s="2599" t="s">
        <v>71</v>
      </c>
      <c r="E28" s="367">
        <v>3.4</v>
      </c>
      <c r="F28" s="368"/>
      <c r="G28" s="367">
        <v>9.5</v>
      </c>
      <c r="H28" s="367">
        <v>6.7</v>
      </c>
      <c r="I28" s="367">
        <v>6.4</v>
      </c>
      <c r="J28" s="349"/>
      <c r="Q28" s="369">
        <v>3.4</v>
      </c>
      <c r="U28" s="370">
        <v>5.9</v>
      </c>
      <c r="V28" s="371">
        <v>4.9000000000000004</v>
      </c>
      <c r="W28" s="1010"/>
    </row>
    <row r="29" spans="1:25" hidden="1" x14ac:dyDescent="0.3">
      <c r="A29" s="2605"/>
      <c r="B29" s="2600"/>
      <c r="C29" s="2600"/>
      <c r="D29" s="2599"/>
      <c r="E29" s="360"/>
      <c r="F29" s="361"/>
      <c r="G29" s="360"/>
      <c r="H29" s="360"/>
      <c r="I29" s="360" t="s">
        <v>67</v>
      </c>
      <c r="J29" s="351" t="s">
        <v>72</v>
      </c>
      <c r="Q29" s="362"/>
      <c r="U29" s="370" t="s">
        <v>73</v>
      </c>
      <c r="V29" s="371" t="s">
        <v>74</v>
      </c>
      <c r="W29" s="1010"/>
    </row>
    <row r="30" spans="1:25" ht="56.25" hidden="1" customHeight="1" x14ac:dyDescent="0.3">
      <c r="A30" s="2606" t="s">
        <v>2237</v>
      </c>
      <c r="B30" s="2607"/>
      <c r="C30" s="2607"/>
      <c r="D30" s="2607"/>
      <c r="E30" s="2607"/>
      <c r="F30" s="2607"/>
      <c r="G30" s="2607"/>
      <c r="H30" s="2607"/>
      <c r="I30" s="2607"/>
      <c r="J30" s="2607"/>
      <c r="K30" s="2607"/>
      <c r="L30" s="2607"/>
      <c r="M30" s="2607"/>
      <c r="N30" s="2607"/>
      <c r="O30" s="2607"/>
      <c r="P30" s="2607"/>
      <c r="Q30" s="2607"/>
      <c r="R30" s="2607"/>
      <c r="S30" s="2607"/>
      <c r="T30" s="2607"/>
      <c r="U30" s="2607"/>
      <c r="V30" s="2607"/>
      <c r="W30" s="968"/>
    </row>
    <row r="31" spans="1:25" hidden="1" x14ac:dyDescent="0.3"/>
    <row r="35" spans="1:26" ht="27" customHeight="1" x14ac:dyDescent="0.3">
      <c r="A35" s="2598" t="s">
        <v>75</v>
      </c>
      <c r="B35" s="2598"/>
      <c r="C35" s="2598"/>
      <c r="D35" s="2598"/>
      <c r="E35" s="2598"/>
      <c r="F35" s="2598"/>
      <c r="G35" s="2598"/>
      <c r="H35" s="2598"/>
      <c r="I35" s="2598"/>
      <c r="J35" s="2598"/>
      <c r="K35" s="2598"/>
      <c r="L35" s="2598"/>
      <c r="M35" s="2598"/>
      <c r="N35" s="2598"/>
      <c r="O35" s="2598"/>
      <c r="P35" s="2598"/>
      <c r="Q35" s="2598"/>
      <c r="R35" s="2598"/>
      <c r="S35" s="2598"/>
      <c r="T35" s="2598"/>
      <c r="U35" s="2598"/>
      <c r="V35" s="2598"/>
      <c r="W35" s="2598"/>
    </row>
    <row r="36" spans="1:26" ht="53.25" customHeight="1" x14ac:dyDescent="0.3">
      <c r="A36" s="1565" t="s">
        <v>3</v>
      </c>
      <c r="B36" s="1566" t="s">
        <v>4</v>
      </c>
      <c r="C36" s="1566" t="s">
        <v>5</v>
      </c>
      <c r="D36" s="1566" t="s">
        <v>6</v>
      </c>
      <c r="E36" s="1566" t="s">
        <v>7</v>
      </c>
      <c r="F36" s="1567" t="s">
        <v>115</v>
      </c>
      <c r="G36" s="1566" t="s">
        <v>76</v>
      </c>
      <c r="H36" s="1566" t="s">
        <v>77</v>
      </c>
      <c r="I36" s="1566" t="s">
        <v>11</v>
      </c>
      <c r="J36" s="130"/>
      <c r="K36" s="130"/>
      <c r="L36" s="130"/>
      <c r="M36" s="130"/>
      <c r="N36" s="130"/>
      <c r="O36" s="130"/>
      <c r="P36" s="130"/>
      <c r="Q36" s="130"/>
      <c r="R36" s="130"/>
      <c r="S36" s="130"/>
      <c r="T36" s="130"/>
      <c r="U36" s="1566" t="s">
        <v>2319</v>
      </c>
      <c r="V36" s="1568" t="s">
        <v>2309</v>
      </c>
      <c r="W36" s="1568" t="s">
        <v>2479</v>
      </c>
    </row>
    <row r="37" spans="1:26" ht="53.25" customHeight="1" x14ac:dyDescent="0.3">
      <c r="A37" s="569">
        <v>1</v>
      </c>
      <c r="B37" s="249" t="s">
        <v>79</v>
      </c>
      <c r="C37" s="249" t="s">
        <v>80</v>
      </c>
      <c r="D37" s="248" t="s">
        <v>81</v>
      </c>
      <c r="E37" s="549">
        <v>34.203266503573005</v>
      </c>
      <c r="F37" s="550">
        <v>32.169753643166999</v>
      </c>
      <c r="G37" s="551">
        <v>30.49408880092</v>
      </c>
      <c r="H37" s="552">
        <v>29.688435178322006</v>
      </c>
      <c r="I37" s="552">
        <v>29.178678010786577</v>
      </c>
      <c r="J37" s="132">
        <v>29.356407608374997</v>
      </c>
      <c r="K37" s="132">
        <v>0</v>
      </c>
      <c r="L37" s="132">
        <v>0</v>
      </c>
      <c r="M37" s="132">
        <v>0</v>
      </c>
      <c r="N37" s="132">
        <v>0</v>
      </c>
      <c r="O37" s="132">
        <v>0</v>
      </c>
      <c r="P37" s="132">
        <v>0</v>
      </c>
      <c r="Q37" s="132">
        <v>0</v>
      </c>
      <c r="R37" s="132">
        <v>0</v>
      </c>
      <c r="S37" s="132">
        <v>0</v>
      </c>
      <c r="T37" s="132">
        <v>0</v>
      </c>
      <c r="U37" s="553">
        <v>29.356407608374997</v>
      </c>
      <c r="V37" s="552">
        <v>28.7035441760978</v>
      </c>
      <c r="W37" s="553">
        <v>27.953840655824099</v>
      </c>
    </row>
    <row r="38" spans="1:26" ht="53.25" customHeight="1" x14ac:dyDescent="0.3">
      <c r="A38" s="569">
        <v>2</v>
      </c>
      <c r="B38" s="2262" t="s">
        <v>82</v>
      </c>
      <c r="C38" s="2262" t="s">
        <v>83</v>
      </c>
      <c r="D38" s="2263" t="s">
        <v>81</v>
      </c>
      <c r="E38" s="2264">
        <v>213.21630000000002</v>
      </c>
      <c r="F38" s="2265">
        <v>214.12662683578435</v>
      </c>
      <c r="G38" s="2266">
        <v>194.3</v>
      </c>
      <c r="H38" s="2267">
        <v>201.7</v>
      </c>
      <c r="I38" s="2267">
        <v>223.00825949358247</v>
      </c>
      <c r="J38" s="2268"/>
      <c r="K38" s="2268"/>
      <c r="L38" s="2268"/>
      <c r="M38" s="2268"/>
      <c r="N38" s="2268"/>
      <c r="O38" s="2268"/>
      <c r="P38" s="2268"/>
      <c r="Q38" s="2268"/>
      <c r="R38" s="2268"/>
      <c r="S38" s="2268"/>
      <c r="T38" s="2268"/>
      <c r="U38" s="2269">
        <v>234.3</v>
      </c>
      <c r="V38" s="2267">
        <v>239.221476761611</v>
      </c>
      <c r="W38" s="2270">
        <v>241.60977693895987</v>
      </c>
    </row>
    <row r="39" spans="1:26" ht="53.25" customHeight="1" x14ac:dyDescent="0.3">
      <c r="A39" s="569">
        <v>3</v>
      </c>
      <c r="B39" s="2271" t="s">
        <v>84</v>
      </c>
      <c r="C39" s="2271" t="s">
        <v>85</v>
      </c>
      <c r="D39" s="2272" t="s">
        <v>81</v>
      </c>
      <c r="E39" s="2273">
        <v>262.35621910515562</v>
      </c>
      <c r="F39" s="2274">
        <v>262.94028950042394</v>
      </c>
      <c r="G39" s="2275">
        <v>233.51303246169314</v>
      </c>
      <c r="H39" s="2275">
        <v>254.30557396770462</v>
      </c>
      <c r="I39" s="2275">
        <v>266.53914681394684</v>
      </c>
      <c r="J39" s="2276">
        <v>18.730228417211549</v>
      </c>
      <c r="K39" s="2277"/>
      <c r="L39" s="2277"/>
      <c r="M39" s="2277"/>
      <c r="N39" s="2277"/>
      <c r="O39" s="2277"/>
      <c r="P39" s="2277"/>
      <c r="Q39" s="2277"/>
      <c r="R39" s="2277"/>
      <c r="S39" s="2277"/>
      <c r="T39" s="2277"/>
      <c r="U39" s="2275">
        <v>276.0579877990765</v>
      </c>
      <c r="V39" s="2278">
        <v>283.77340089699999</v>
      </c>
      <c r="W39" s="2275">
        <v>284.87903786407497</v>
      </c>
    </row>
    <row r="40" spans="1:26" ht="54" customHeight="1" x14ac:dyDescent="0.3">
      <c r="A40" s="570">
        <v>4</v>
      </c>
      <c r="B40" s="2583" t="s">
        <v>86</v>
      </c>
      <c r="C40" s="2584"/>
      <c r="D40" s="2584"/>
      <c r="E40" s="2584"/>
      <c r="F40" s="2584"/>
      <c r="G40" s="2584"/>
      <c r="H40" s="2584"/>
      <c r="I40" s="2584"/>
      <c r="J40" s="2584"/>
      <c r="K40" s="2584"/>
      <c r="L40" s="2584"/>
      <c r="M40" s="2584"/>
      <c r="N40" s="2584"/>
      <c r="O40" s="2584"/>
      <c r="P40" s="2584"/>
      <c r="Q40" s="2584"/>
      <c r="R40" s="2584"/>
      <c r="S40" s="2584"/>
      <c r="T40" s="2584"/>
      <c r="U40" s="2584"/>
      <c r="V40" s="2584"/>
      <c r="W40" s="2585"/>
    </row>
    <row r="41" spans="1:26" ht="63" customHeight="1" x14ac:dyDescent="0.3">
      <c r="A41" s="2586"/>
      <c r="B41" s="2271" t="s">
        <v>87</v>
      </c>
      <c r="C41" s="2271" t="s">
        <v>85</v>
      </c>
      <c r="D41" s="2272" t="s">
        <v>41</v>
      </c>
      <c r="E41" s="2279">
        <v>111.91467188589772</v>
      </c>
      <c r="F41" s="2280">
        <v>101.37619315806718</v>
      </c>
      <c r="G41" s="2275">
        <v>62.248046946401743</v>
      </c>
      <c r="H41" s="2275">
        <v>120.67515291795253</v>
      </c>
      <c r="I41" s="2275">
        <v>157.53102411079598</v>
      </c>
      <c r="J41" s="2277">
        <v>133.3664296536474</v>
      </c>
      <c r="K41" s="2277"/>
      <c r="L41" s="2277"/>
      <c r="M41" s="2277"/>
      <c r="N41" s="2277"/>
      <c r="O41" s="2277"/>
      <c r="P41" s="2277"/>
      <c r="Q41" s="2277"/>
      <c r="R41" s="2277"/>
      <c r="S41" s="2277"/>
      <c r="T41" s="2277"/>
      <c r="U41" s="2275">
        <v>133.36642965364743</v>
      </c>
      <c r="V41" s="2278">
        <v>137.17396944211859</v>
      </c>
      <c r="W41" s="2270">
        <v>123.37925672100728</v>
      </c>
    </row>
    <row r="42" spans="1:26" ht="53.25" customHeight="1" x14ac:dyDescent="0.3">
      <c r="A42" s="2587"/>
      <c r="B42" s="2281" t="s">
        <v>88</v>
      </c>
      <c r="C42" s="2282" t="s">
        <v>89</v>
      </c>
      <c r="D42" s="2283" t="s">
        <v>41</v>
      </c>
      <c r="E42" s="2284">
        <v>16.340789823297023</v>
      </c>
      <c r="F42" s="2285">
        <v>17.688678629451939</v>
      </c>
      <c r="G42" s="2283">
        <v>14.770234822447883</v>
      </c>
      <c r="H42" s="2283">
        <v>23.655583237171101</v>
      </c>
      <c r="I42" s="2286">
        <v>26.912496992363387</v>
      </c>
      <c r="J42" s="2268">
        <v>22.932567961932161</v>
      </c>
      <c r="K42" s="2268"/>
      <c r="L42" s="2268"/>
      <c r="M42" s="2268"/>
      <c r="N42" s="2268"/>
      <c r="O42" s="2268"/>
      <c r="P42" s="2268"/>
      <c r="Q42" s="2268"/>
      <c r="R42" s="2268"/>
      <c r="S42" s="2268"/>
      <c r="T42" s="2268"/>
      <c r="U42" s="2283">
        <v>22.932567961932158</v>
      </c>
      <c r="V42" s="2286">
        <v>23.673293046022437</v>
      </c>
      <c r="W42" s="2270">
        <v>20.794754212668099</v>
      </c>
    </row>
    <row r="43" spans="1:26" ht="56.25" x14ac:dyDescent="0.3">
      <c r="A43" s="2587"/>
      <c r="B43" s="2287" t="s">
        <v>90</v>
      </c>
      <c r="C43" s="2288" t="s">
        <v>89</v>
      </c>
      <c r="D43" s="2275" t="s">
        <v>41</v>
      </c>
      <c r="E43" s="2279">
        <f>+E41+E42</f>
        <v>128.25546170919475</v>
      </c>
      <c r="F43" s="2280">
        <f>+F41+F42</f>
        <v>119.06487178751912</v>
      </c>
      <c r="G43" s="2275">
        <v>77.018281768849619</v>
      </c>
      <c r="H43" s="2275">
        <v>144.33073615512365</v>
      </c>
      <c r="I43" s="2278">
        <v>184.44352110315936</v>
      </c>
      <c r="J43" s="2268">
        <v>156.29899761557957</v>
      </c>
      <c r="K43" s="2268">
        <v>0</v>
      </c>
      <c r="L43" s="2268">
        <v>0</v>
      </c>
      <c r="M43" s="2268">
        <v>0</v>
      </c>
      <c r="N43" s="2268">
        <v>0</v>
      </c>
      <c r="O43" s="2268">
        <v>0</v>
      </c>
      <c r="P43" s="2268">
        <v>0</v>
      </c>
      <c r="Q43" s="2268">
        <v>0</v>
      </c>
      <c r="R43" s="2268">
        <v>0</v>
      </c>
      <c r="S43" s="2268">
        <v>0</v>
      </c>
      <c r="T43" s="2268">
        <v>0</v>
      </c>
      <c r="U43" s="2275">
        <v>156.29899761557959</v>
      </c>
      <c r="V43" s="2278">
        <v>160.84726248814104</v>
      </c>
      <c r="W43" s="2270">
        <v>144.17401093367539</v>
      </c>
    </row>
    <row r="44" spans="1:26" ht="70.5" customHeight="1" x14ac:dyDescent="0.3">
      <c r="A44" s="2588"/>
      <c r="B44" s="2287" t="s">
        <v>91</v>
      </c>
      <c r="C44" s="2271" t="s">
        <v>85</v>
      </c>
      <c r="D44" s="2275" t="s">
        <v>41</v>
      </c>
      <c r="E44" s="2279">
        <v>38.23562369970972</v>
      </c>
      <c r="F44" s="2280">
        <v>35.847948367938614</v>
      </c>
      <c r="G44" s="2275">
        <v>21.406174738149033</v>
      </c>
      <c r="H44" s="2275">
        <v>44.438069722131488</v>
      </c>
      <c r="I44" s="2278">
        <v>57.323329625653784</v>
      </c>
      <c r="J44" s="2268">
        <v>47.717386676601301</v>
      </c>
      <c r="K44" s="2268"/>
      <c r="L44" s="2268"/>
      <c r="M44" s="2268"/>
      <c r="N44" s="2268"/>
      <c r="O44" s="2268"/>
      <c r="P44" s="2268"/>
      <c r="Q44" s="2268"/>
      <c r="R44" s="2268"/>
      <c r="S44" s="2268"/>
      <c r="T44" s="2268"/>
      <c r="U44" s="2275">
        <v>47.717386676601301</v>
      </c>
      <c r="V44" s="2278">
        <v>44.406783626793448</v>
      </c>
      <c r="W44" s="2275">
        <v>41.137873666834615</v>
      </c>
    </row>
    <row r="45" spans="1:26" ht="56.25" x14ac:dyDescent="0.3">
      <c r="A45" s="569">
        <v>5</v>
      </c>
      <c r="B45" s="2271" t="s">
        <v>92</v>
      </c>
      <c r="C45" s="2287" t="s">
        <v>93</v>
      </c>
      <c r="D45" s="2272" t="s">
        <v>71</v>
      </c>
      <c r="E45" s="2289">
        <f>+E43/E13*100</f>
        <v>24.948618093946585</v>
      </c>
      <c r="F45" s="2290" t="e">
        <f>+F43/F13*100</f>
        <v>#DIV/0!</v>
      </c>
      <c r="G45" s="2291">
        <f>+G43/'1.1'!G15*100</f>
        <v>19.526185540942578</v>
      </c>
      <c r="H45" s="2291">
        <f>+H43/'1.1'!H15*100</f>
        <v>23.58730775537239</v>
      </c>
      <c r="I45" s="2291">
        <f>+I43/'1.1'!I15*100</f>
        <v>25.823745674165455</v>
      </c>
      <c r="J45" s="2291" t="e">
        <f>+J43/'1.1'!J15*100</f>
        <v>#DIV/0!</v>
      </c>
      <c r="K45" s="2291" t="e">
        <f>+K43/'1.1'!K15*100</f>
        <v>#DIV/0!</v>
      </c>
      <c r="L45" s="2291" t="e">
        <f>+L43/'1.1'!L15*100</f>
        <v>#DIV/0!</v>
      </c>
      <c r="M45" s="2291" t="e">
        <f>+M43/'1.1'!M15*100</f>
        <v>#DIV/0!</v>
      </c>
      <c r="N45" s="2291" t="e">
        <f>+N43/'1.1'!N15*100</f>
        <v>#DIV/0!</v>
      </c>
      <c r="O45" s="2291" t="e">
        <f>+O43/'1.1'!O15*100</f>
        <v>#DIV/0!</v>
      </c>
      <c r="P45" s="2291" t="e">
        <f>+P43/'1.1'!P15*100</f>
        <v>#DIV/0!</v>
      </c>
      <c r="Q45" s="2291">
        <f>+Q43/'1.1'!Q15*100</f>
        <v>0</v>
      </c>
      <c r="R45" s="2291" t="e">
        <f>+R43/'1.1'!R15*100</f>
        <v>#DIV/0!</v>
      </c>
      <c r="S45" s="2291" t="e">
        <f>+S43/'1.1'!S15*100</f>
        <v>#DIV/0!</v>
      </c>
      <c r="T45" s="2291" t="e">
        <f>+T43/'1.1'!T15*100</f>
        <v>#DIV/0!</v>
      </c>
      <c r="U45" s="2291">
        <f>+U43/'1.1'!U15*100</f>
        <v>23.046151226124977</v>
      </c>
      <c r="V45" s="2291">
        <f>+V43/'1.1'!V15*100</f>
        <v>22.33369376397404</v>
      </c>
      <c r="W45" s="2291">
        <f>+W43/'1.1'!X15*100</f>
        <v>18.603098184990372</v>
      </c>
    </row>
    <row r="46" spans="1:26" ht="56.25" x14ac:dyDescent="0.3">
      <c r="A46" s="569">
        <v>6</v>
      </c>
      <c r="B46" s="249" t="s">
        <v>94</v>
      </c>
      <c r="C46" s="554" t="s">
        <v>93</v>
      </c>
      <c r="D46" s="248" t="s">
        <v>71</v>
      </c>
      <c r="E46" s="555">
        <f>+E44/E14*100</f>
        <v>11.583811485248754</v>
      </c>
      <c r="F46" s="556" t="e">
        <f>+F44/F14*100</f>
        <v>#DIV/0!</v>
      </c>
      <c r="G46" s="557">
        <f>+G44/'1.1'!G16*100</f>
        <v>7.3356931704483141</v>
      </c>
      <c r="H46" s="557">
        <f>+H44/'1.1'!H16*100</f>
        <v>10.588055687903619</v>
      </c>
      <c r="I46" s="557">
        <f>+I44/'1.1'!I16*100</f>
        <v>12.810827699828764</v>
      </c>
      <c r="J46" s="557" t="e">
        <f>+J44/'1.1'!J16*100</f>
        <v>#DIV/0!</v>
      </c>
      <c r="K46" s="557" t="e">
        <f>+K44/'1.1'!K16*100</f>
        <v>#DIV/0!</v>
      </c>
      <c r="L46" s="557" t="e">
        <f>+L44/'1.1'!L16*100</f>
        <v>#DIV/0!</v>
      </c>
      <c r="M46" s="557" t="e">
        <f>+M44/'1.1'!M16*100</f>
        <v>#DIV/0!</v>
      </c>
      <c r="N46" s="557" t="e">
        <f>+N44/'1.1'!N16*100</f>
        <v>#DIV/0!</v>
      </c>
      <c r="O46" s="557" t="e">
        <f>+O44/'1.1'!O16*100</f>
        <v>#DIV/0!</v>
      </c>
      <c r="P46" s="557" t="e">
        <f>+P44/'1.1'!P16*100</f>
        <v>#DIV/0!</v>
      </c>
      <c r="Q46" s="557">
        <f>+Q44/'1.1'!Q16*100</f>
        <v>0</v>
      </c>
      <c r="R46" s="557" t="e">
        <f>+R44/'1.1'!R16*100</f>
        <v>#DIV/0!</v>
      </c>
      <c r="S46" s="557" t="e">
        <f>+S44/'1.1'!S16*100</f>
        <v>#DIV/0!</v>
      </c>
      <c r="T46" s="557" t="e">
        <f>+T44/'1.1'!T16*100</f>
        <v>#DIV/0!</v>
      </c>
      <c r="U46" s="557">
        <f>+U44/'1.1'!U16*100</f>
        <v>10.916812325921139</v>
      </c>
      <c r="V46" s="557">
        <f>+V44/'1.1'!V16*100</f>
        <v>10.152442530131104</v>
      </c>
      <c r="W46" s="557">
        <f>+W44/'1.1'!X16*100</f>
        <v>9.3118460923614954</v>
      </c>
      <c r="Z46" s="1">
        <f>100-16.2</f>
        <v>83.8</v>
      </c>
    </row>
    <row r="47" spans="1:26" ht="53.25" customHeight="1" x14ac:dyDescent="0.3">
      <c r="A47" s="569">
        <v>7</v>
      </c>
      <c r="B47" s="249" t="s">
        <v>95</v>
      </c>
      <c r="C47" s="554" t="s">
        <v>96</v>
      </c>
      <c r="D47" s="248" t="s">
        <v>71</v>
      </c>
      <c r="E47" s="558">
        <v>83.8</v>
      </c>
      <c r="F47" s="559">
        <v>85</v>
      </c>
      <c r="G47" s="560">
        <v>84.4</v>
      </c>
      <c r="H47" s="560">
        <v>85.5</v>
      </c>
      <c r="I47" s="561">
        <v>87.3664589601605</v>
      </c>
      <c r="J47" s="132"/>
      <c r="K47" s="132"/>
      <c r="L47" s="132"/>
      <c r="M47" s="132"/>
      <c r="N47" s="132"/>
      <c r="O47" s="132"/>
      <c r="P47" s="132"/>
      <c r="Q47" s="132"/>
      <c r="R47" s="132"/>
      <c r="S47" s="132"/>
      <c r="T47" s="132"/>
      <c r="U47" s="560">
        <v>87.826668477290454</v>
      </c>
      <c r="V47" s="561">
        <v>88.220491236004975</v>
      </c>
      <c r="W47" s="1162">
        <v>88.748920178663923</v>
      </c>
    </row>
    <row r="48" spans="1:26" ht="18.75" customHeight="1" x14ac:dyDescent="0.3">
      <c r="A48" s="2595" t="s">
        <v>3020</v>
      </c>
      <c r="B48" s="2596"/>
      <c r="C48" s="2596"/>
      <c r="D48" s="2596"/>
      <c r="E48" s="2596"/>
      <c r="F48" s="2596"/>
      <c r="G48" s="2596"/>
      <c r="H48" s="2596"/>
      <c r="I48" s="2596"/>
      <c r="J48" s="2596"/>
      <c r="K48" s="2596"/>
      <c r="L48" s="2596"/>
      <c r="M48" s="2596"/>
      <c r="N48" s="2596"/>
      <c r="O48" s="2596"/>
      <c r="P48" s="2596"/>
      <c r="Q48" s="2596"/>
      <c r="R48" s="2596"/>
      <c r="S48" s="2596"/>
      <c r="T48" s="2596"/>
      <c r="U48" s="2596"/>
      <c r="V48" s="2596"/>
      <c r="W48" s="2597"/>
    </row>
    <row r="49" spans="1:35" ht="53.25" customHeight="1" x14ac:dyDescent="0.3">
      <c r="A49" s="2589" t="s">
        <v>98</v>
      </c>
      <c r="B49" s="2590"/>
      <c r="C49" s="2590"/>
      <c r="D49" s="2590"/>
      <c r="E49" s="2590"/>
      <c r="F49" s="2590"/>
      <c r="G49" s="2590"/>
      <c r="H49" s="2590"/>
      <c r="I49" s="2590"/>
      <c r="J49" s="2590"/>
      <c r="K49" s="2590"/>
      <c r="L49" s="2590"/>
      <c r="M49" s="2590"/>
      <c r="N49" s="2590"/>
      <c r="O49" s="2590"/>
      <c r="P49" s="2590"/>
      <c r="Q49" s="2590"/>
      <c r="R49" s="2590"/>
      <c r="S49" s="2590"/>
      <c r="T49" s="2590"/>
      <c r="U49" s="2590"/>
      <c r="V49" s="2590"/>
      <c r="W49" s="2591"/>
    </row>
    <row r="50" spans="1:35" ht="53.25" customHeight="1" x14ac:dyDescent="0.3">
      <c r="A50" s="567" t="s">
        <v>3</v>
      </c>
      <c r="B50" s="244" t="s">
        <v>4</v>
      </c>
      <c r="C50" s="244" t="s">
        <v>5</v>
      </c>
      <c r="D50" s="244" t="s">
        <v>6</v>
      </c>
      <c r="E50" s="245" t="s">
        <v>7</v>
      </c>
      <c r="F50" s="246" t="s">
        <v>115</v>
      </c>
      <c r="G50" s="244" t="s">
        <v>76</v>
      </c>
      <c r="H50" s="244" t="s">
        <v>77</v>
      </c>
      <c r="I50" s="244" t="s">
        <v>11</v>
      </c>
      <c r="J50" s="881"/>
      <c r="K50" s="881"/>
      <c r="L50" s="881"/>
      <c r="M50" s="881"/>
      <c r="N50" s="881"/>
      <c r="O50" s="881"/>
      <c r="P50" s="881"/>
      <c r="Q50" s="881"/>
      <c r="R50" s="881"/>
      <c r="S50" s="881"/>
      <c r="T50" s="881"/>
      <c r="U50" s="244" t="s">
        <v>382</v>
      </c>
      <c r="V50" s="1011" t="s">
        <v>2309</v>
      </c>
      <c r="W50" s="568" t="s">
        <v>2479</v>
      </c>
    </row>
    <row r="51" spans="1:35" ht="61.5" customHeight="1" x14ac:dyDescent="0.3">
      <c r="A51" s="569">
        <v>1</v>
      </c>
      <c r="B51" s="250" t="s">
        <v>100</v>
      </c>
      <c r="C51" s="562" t="s">
        <v>80</v>
      </c>
      <c r="D51" s="563" t="s">
        <v>101</v>
      </c>
      <c r="E51" s="564">
        <v>32873</v>
      </c>
      <c r="F51" s="565">
        <v>31184</v>
      </c>
      <c r="G51" s="566">
        <v>28672</v>
      </c>
      <c r="H51" s="566">
        <v>34024</v>
      </c>
      <c r="I51" s="566">
        <v>34450</v>
      </c>
      <c r="J51" s="130"/>
      <c r="K51" s="130"/>
      <c r="L51" s="130"/>
      <c r="M51" s="130"/>
      <c r="N51" s="130"/>
      <c r="O51" s="130"/>
      <c r="P51" s="130"/>
      <c r="Q51" s="130"/>
      <c r="R51" s="130"/>
      <c r="S51" s="130"/>
      <c r="T51" s="130"/>
      <c r="U51" s="566">
        <v>36437.883023999995</v>
      </c>
      <c r="V51" s="564">
        <v>36113.388945999992</v>
      </c>
      <c r="W51" s="1310">
        <v>34775.667120376645</v>
      </c>
    </row>
    <row r="52" spans="1:35" ht="66" customHeight="1" x14ac:dyDescent="0.3">
      <c r="A52" s="569">
        <v>2</v>
      </c>
      <c r="B52" s="250" t="s">
        <v>102</v>
      </c>
      <c r="C52" s="562" t="s">
        <v>80</v>
      </c>
      <c r="D52" s="563" t="s">
        <v>101</v>
      </c>
      <c r="E52" s="564">
        <v>32056</v>
      </c>
      <c r="F52" s="565">
        <v>30257</v>
      </c>
      <c r="G52" s="566">
        <v>27784</v>
      </c>
      <c r="H52" s="566">
        <v>33131</v>
      </c>
      <c r="I52" s="566">
        <v>33664</v>
      </c>
      <c r="J52" s="130"/>
      <c r="K52" s="130"/>
      <c r="L52" s="130"/>
      <c r="M52" s="130"/>
      <c r="N52" s="130"/>
      <c r="O52" s="130"/>
      <c r="P52" s="130"/>
      <c r="Q52" s="130"/>
      <c r="R52" s="130"/>
      <c r="S52" s="130"/>
      <c r="T52" s="130"/>
      <c r="U52" s="566">
        <v>35716.936711072005</v>
      </c>
      <c r="V52" s="564">
        <v>35593.856180258997</v>
      </c>
      <c r="W52" s="1310">
        <v>34326.230429851646</v>
      </c>
    </row>
    <row r="53" spans="1:35" ht="86.25" customHeight="1" x14ac:dyDescent="0.3">
      <c r="A53" s="1532">
        <v>3</v>
      </c>
      <c r="B53" s="917" t="s">
        <v>103</v>
      </c>
      <c r="C53" s="1533" t="s">
        <v>104</v>
      </c>
      <c r="D53" s="1169" t="s">
        <v>101</v>
      </c>
      <c r="E53" s="1534">
        <v>28740</v>
      </c>
      <c r="F53" s="1534">
        <v>33887</v>
      </c>
      <c r="G53" s="1310">
        <v>33198</v>
      </c>
      <c r="H53" s="1310">
        <v>31028</v>
      </c>
      <c r="I53" s="1310">
        <v>26304</v>
      </c>
      <c r="J53" s="1535"/>
      <c r="K53" s="1535"/>
      <c r="L53" s="1535"/>
      <c r="M53" s="1535"/>
      <c r="N53" s="1535"/>
      <c r="O53" s="1535"/>
      <c r="P53" s="1535"/>
      <c r="Q53" s="1535"/>
      <c r="R53" s="1535"/>
      <c r="S53" s="1535"/>
      <c r="T53" s="1535"/>
      <c r="U53" s="1310">
        <v>31795.201479375006</v>
      </c>
      <c r="V53" s="1534">
        <v>35720.305099999998</v>
      </c>
      <c r="W53" s="1310">
        <v>34426.682289999997</v>
      </c>
    </row>
    <row r="54" spans="1:35" ht="66" customHeight="1" x14ac:dyDescent="0.3">
      <c r="A54" s="1532">
        <v>4</v>
      </c>
      <c r="B54" s="917" t="s">
        <v>105</v>
      </c>
      <c r="C54" s="1536"/>
      <c r="D54" s="1169" t="s">
        <v>101</v>
      </c>
      <c r="E54" s="1310">
        <v>60796</v>
      </c>
      <c r="F54" s="1310">
        <v>64144</v>
      </c>
      <c r="G54" s="1310">
        <v>60981</v>
      </c>
      <c r="H54" s="1310">
        <v>64159</v>
      </c>
      <c r="I54" s="1310">
        <v>59969</v>
      </c>
      <c r="J54" s="1535"/>
      <c r="K54" s="1535"/>
      <c r="L54" s="1535"/>
      <c r="M54" s="1535"/>
      <c r="N54" s="1535"/>
      <c r="O54" s="1535"/>
      <c r="P54" s="1535"/>
      <c r="Q54" s="1535"/>
      <c r="R54" s="1535"/>
      <c r="S54" s="1535"/>
      <c r="T54" s="1535"/>
      <c r="U54" s="1310">
        <v>67512.138190447004</v>
      </c>
      <c r="V54" s="1534">
        <v>71314.161280258995</v>
      </c>
      <c r="W54" s="1310">
        <v>68752.912719999993</v>
      </c>
      <c r="X54" s="2142"/>
      <c r="Y54" s="2141"/>
      <c r="AD54" s="541" t="s">
        <v>118</v>
      </c>
      <c r="AE54" s="541" t="s">
        <v>119</v>
      </c>
      <c r="AF54" s="541" t="s">
        <v>120</v>
      </c>
      <c r="AG54" s="541" t="s">
        <v>121</v>
      </c>
      <c r="AH54" s="541" t="s">
        <v>122</v>
      </c>
      <c r="AI54" s="541" t="s">
        <v>123</v>
      </c>
    </row>
    <row r="55" spans="1:35" ht="73.5" customHeight="1" x14ac:dyDescent="0.3">
      <c r="A55" s="1537">
        <v>5</v>
      </c>
      <c r="B55" s="917" t="s">
        <v>106</v>
      </c>
      <c r="C55" s="1538" t="s">
        <v>96</v>
      </c>
      <c r="D55" s="1169" t="s">
        <v>71</v>
      </c>
      <c r="E55" s="1311">
        <f>E53/E54*100</f>
        <v>47.272846897822227</v>
      </c>
      <c r="F55" s="1311">
        <f>F53/F54*100</f>
        <v>52.82957096532801</v>
      </c>
      <c r="G55" s="1311">
        <f>G53/G54*100</f>
        <v>54.439907512175921</v>
      </c>
      <c r="H55" s="1311">
        <f>H53/H54*100</f>
        <v>48.361102885020031</v>
      </c>
      <c r="I55" s="1311">
        <f>I53/I54*100</f>
        <v>43.86266237556071</v>
      </c>
      <c r="J55" s="1535"/>
      <c r="K55" s="1535"/>
      <c r="L55" s="1535"/>
      <c r="M55" s="1535"/>
      <c r="N55" s="1535"/>
      <c r="O55" s="1535"/>
      <c r="P55" s="1535"/>
      <c r="Q55" s="1535"/>
      <c r="R55" s="1535"/>
      <c r="S55" s="1535"/>
      <c r="T55" s="1535"/>
      <c r="U55" s="1311">
        <v>47.1</v>
      </c>
      <c r="V55" s="1311">
        <v>50.088656248261877</v>
      </c>
      <c r="W55" s="2292">
        <v>50.073052803165702</v>
      </c>
      <c r="AD55" s="578">
        <v>260.15238314735126</v>
      </c>
      <c r="AE55" s="578">
        <v>57.239129759743449</v>
      </c>
      <c r="AF55" s="578">
        <v>551.04306354685593</v>
      </c>
      <c r="AG55" s="578">
        <v>14.022110661228437</v>
      </c>
      <c r="AH55" s="578">
        <v>15.322593277180427</v>
      </c>
      <c r="AI55" s="578">
        <v>36.090913170975085</v>
      </c>
    </row>
    <row r="56" spans="1:35" ht="42" customHeight="1" x14ac:dyDescent="0.3">
      <c r="A56" s="2592"/>
      <c r="B56" s="2593"/>
      <c r="C56" s="2593"/>
      <c r="D56" s="2593"/>
      <c r="E56" s="2593"/>
      <c r="F56" s="2593"/>
      <c r="G56" s="2593"/>
      <c r="H56" s="2593"/>
      <c r="I56" s="2593"/>
      <c r="J56" s="2593"/>
      <c r="K56" s="2593"/>
      <c r="L56" s="2593"/>
      <c r="M56" s="2593"/>
      <c r="N56" s="2593"/>
      <c r="O56" s="2593"/>
      <c r="P56" s="2593"/>
      <c r="Q56" s="2593"/>
      <c r="R56" s="2593"/>
      <c r="S56" s="2593"/>
      <c r="T56" s="2593"/>
      <c r="U56" s="2593"/>
      <c r="V56" s="2593"/>
      <c r="W56" s="2594"/>
    </row>
    <row r="57" spans="1:35" x14ac:dyDescent="0.3">
      <c r="A57" s="548"/>
      <c r="W57" s="1308"/>
    </row>
    <row r="58" spans="1:35" x14ac:dyDescent="0.3">
      <c r="A58" s="548"/>
      <c r="W58" s="1308"/>
    </row>
    <row r="59" spans="1:35" x14ac:dyDescent="0.3">
      <c r="A59" s="548"/>
      <c r="W59" s="1308"/>
    </row>
    <row r="60" spans="1:35" x14ac:dyDescent="0.3">
      <c r="A60" s="548"/>
      <c r="W60" s="1308"/>
    </row>
    <row r="61" spans="1:35" x14ac:dyDescent="0.3">
      <c r="A61" s="548"/>
      <c r="W61" s="1308"/>
    </row>
    <row r="62" spans="1:35" x14ac:dyDescent="0.3">
      <c r="A62" s="548"/>
      <c r="W62" s="1308"/>
    </row>
    <row r="63" spans="1:35" x14ac:dyDescent="0.3">
      <c r="A63" s="548"/>
      <c r="W63" s="1308"/>
    </row>
    <row r="64" spans="1:35" ht="1.5" customHeight="1" x14ac:dyDescent="0.3">
      <c r="A64" s="548"/>
      <c r="W64" s="1308"/>
    </row>
    <row r="65" spans="1:23" x14ac:dyDescent="0.3">
      <c r="A65" s="548"/>
      <c r="W65" s="1308"/>
    </row>
    <row r="66" spans="1:23" x14ac:dyDescent="0.3">
      <c r="A66" s="548"/>
      <c r="W66" s="1308"/>
    </row>
    <row r="67" spans="1:23" x14ac:dyDescent="0.3">
      <c r="A67" s="548"/>
      <c r="W67" s="1308"/>
    </row>
    <row r="68" spans="1:23" x14ac:dyDescent="0.3">
      <c r="A68" s="548"/>
      <c r="W68" s="1308"/>
    </row>
    <row r="69" spans="1:23" x14ac:dyDescent="0.3">
      <c r="A69" s="548"/>
      <c r="W69" s="1308"/>
    </row>
    <row r="70" spans="1:23" x14ac:dyDescent="0.3">
      <c r="A70" s="548"/>
      <c r="W70" s="1308"/>
    </row>
    <row r="71" spans="1:23" x14ac:dyDescent="0.3">
      <c r="A71" s="548"/>
      <c r="W71" s="1308"/>
    </row>
    <row r="72" spans="1:23" x14ac:dyDescent="0.3">
      <c r="A72" s="548"/>
      <c r="W72" s="1308"/>
    </row>
    <row r="73" spans="1:23" x14ac:dyDescent="0.3">
      <c r="A73" s="548"/>
      <c r="W73" s="1308"/>
    </row>
    <row r="74" spans="1:23" x14ac:dyDescent="0.3">
      <c r="A74" s="548"/>
      <c r="W74" s="1308"/>
    </row>
    <row r="75" spans="1:23" x14ac:dyDescent="0.3">
      <c r="A75" s="548"/>
      <c r="W75" s="1308"/>
    </row>
    <row r="76" spans="1:23" x14ac:dyDescent="0.3">
      <c r="A76" s="548"/>
      <c r="W76" s="1308"/>
    </row>
    <row r="77" spans="1:23" x14ac:dyDescent="0.3">
      <c r="A77" s="548"/>
      <c r="W77" s="1308"/>
    </row>
    <row r="78" spans="1:23" x14ac:dyDescent="0.3">
      <c r="A78" s="548"/>
      <c r="W78" s="1308"/>
    </row>
    <row r="79" spans="1:23" x14ac:dyDescent="0.3">
      <c r="A79" s="548"/>
      <c r="W79" s="1308"/>
    </row>
    <row r="80" spans="1:23" x14ac:dyDescent="0.3">
      <c r="A80" s="548"/>
      <c r="W80" s="1308"/>
    </row>
    <row r="81" spans="1:23" x14ac:dyDescent="0.3">
      <c r="A81" s="1306" t="s">
        <v>2936</v>
      </c>
      <c r="B81" s="1307"/>
      <c r="C81" s="1307"/>
      <c r="D81" s="1307"/>
      <c r="E81" s="1307"/>
      <c r="F81" s="1307"/>
      <c r="G81" s="1307"/>
      <c r="H81" s="1307"/>
      <c r="I81" s="1307"/>
      <c r="J81" s="1307"/>
      <c r="K81" s="1307"/>
      <c r="L81" s="1307"/>
      <c r="M81" s="1307"/>
      <c r="N81" s="1307"/>
      <c r="O81" s="1307"/>
      <c r="P81" s="1307"/>
      <c r="Q81" s="1307"/>
      <c r="R81" s="1307"/>
      <c r="S81" s="1307"/>
      <c r="T81" s="1307"/>
      <c r="U81" s="1307"/>
      <c r="V81" s="1307"/>
      <c r="W81" s="1309"/>
    </row>
  </sheetData>
  <mergeCells count="46">
    <mergeCell ref="A8:A10"/>
    <mergeCell ref="B8:B10"/>
    <mergeCell ref="C8:C10"/>
    <mergeCell ref="D8:D9"/>
    <mergeCell ref="A1:V1"/>
    <mergeCell ref="A2:V2"/>
    <mergeCell ref="A5:A7"/>
    <mergeCell ref="C6:C7"/>
    <mergeCell ref="D6:D7"/>
    <mergeCell ref="U11:U12"/>
    <mergeCell ref="V11:V12"/>
    <mergeCell ref="A11:A12"/>
    <mergeCell ref="B11:B12"/>
    <mergeCell ref="C11:C12"/>
    <mergeCell ref="D11:D12"/>
    <mergeCell ref="E11:E12"/>
    <mergeCell ref="F11:F12"/>
    <mergeCell ref="D22:D23"/>
    <mergeCell ref="G11:G12"/>
    <mergeCell ref="H11:H12"/>
    <mergeCell ref="I11:I12"/>
    <mergeCell ref="Q11:Q12"/>
    <mergeCell ref="A18:A20"/>
    <mergeCell ref="C18:C20"/>
    <mergeCell ref="A22:A23"/>
    <mergeCell ref="B22:B23"/>
    <mergeCell ref="C22:C23"/>
    <mergeCell ref="A35:W35"/>
    <mergeCell ref="A24:A25"/>
    <mergeCell ref="B24:B25"/>
    <mergeCell ref="C24:C25"/>
    <mergeCell ref="D24:D25"/>
    <mergeCell ref="A26:A27"/>
    <mergeCell ref="B26:B27"/>
    <mergeCell ref="C26:C27"/>
    <mergeCell ref="D26:D27"/>
    <mergeCell ref="A28:A29"/>
    <mergeCell ref="B28:B29"/>
    <mergeCell ref="C28:C29"/>
    <mergeCell ref="D28:D29"/>
    <mergeCell ref="A30:V30"/>
    <mergeCell ref="B40:W40"/>
    <mergeCell ref="A41:A44"/>
    <mergeCell ref="A49:W49"/>
    <mergeCell ref="A56:W56"/>
    <mergeCell ref="A48:W48"/>
  </mergeCells>
  <hyperlinks>
    <hyperlink ref="J17" r:id="rId1" xr:uid="{39B9ADDD-1647-4207-8CB7-CDBB082D4E44}"/>
  </hyperlinks>
  <pageMargins left="0.70866141732283472" right="0.70866141732283472" top="0.74803149606299213" bottom="0.74803149606299213" header="0.31496062992125984" footer="0.31496062992125984"/>
  <pageSetup paperSize="9" scale="24" orientation="portrait" r:id="rId2"/>
  <drawing r:id="rId3"/>
  <legacy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1A37DB-38E1-436E-AE9E-E12147918062}">
  <sheetPr codeName="Sheet8">
    <tabColor theme="0"/>
    <pageSetUpPr fitToPage="1"/>
  </sheetPr>
  <dimension ref="B1:L64"/>
  <sheetViews>
    <sheetView showGridLines="0" view="pageLayout" topLeftCell="A34" zoomScale="60" zoomScaleNormal="100" zoomScalePageLayoutView="60" workbookViewId="0">
      <selection activeCell="B81" sqref="B81"/>
    </sheetView>
  </sheetViews>
  <sheetFormatPr defaultColWidth="9.140625" defaultRowHeight="14.25" zeroHeight="1" x14ac:dyDescent="0.25"/>
  <cols>
    <col min="1" max="1" width="2.28515625" style="22" customWidth="1"/>
    <col min="2" max="2" width="7.28515625" style="29" customWidth="1"/>
    <col min="3" max="3" width="29.140625" style="22" customWidth="1"/>
    <col min="4" max="4" width="7" style="29" customWidth="1"/>
    <col min="5" max="5" width="14.7109375" style="22" customWidth="1"/>
    <col min="6" max="6" width="17" style="22" customWidth="1"/>
    <col min="7" max="7" width="14.42578125" style="22" customWidth="1"/>
    <col min="8" max="8" width="15.5703125" style="22" customWidth="1"/>
    <col min="9" max="9" width="13.7109375" style="22" customWidth="1"/>
    <col min="10" max="10" width="17.42578125" style="22" customWidth="1"/>
    <col min="11" max="11" width="14.42578125" style="28" customWidth="1"/>
    <col min="12" max="12" width="5.7109375" style="22" customWidth="1"/>
    <col min="13" max="13" width="9.140625" style="22" customWidth="1"/>
    <col min="14" max="16384" width="9.140625" style="22"/>
  </cols>
  <sheetData>
    <row r="1" spans="2:12" ht="36" customHeight="1" x14ac:dyDescent="0.25">
      <c r="B1" s="2643" t="s">
        <v>2587</v>
      </c>
      <c r="C1" s="2644"/>
      <c r="D1" s="2644"/>
      <c r="E1" s="2644"/>
      <c r="F1" s="2644"/>
      <c r="G1" s="2644"/>
      <c r="H1" s="2644"/>
      <c r="I1" s="2644"/>
      <c r="J1" s="2644"/>
      <c r="K1" s="2645"/>
    </row>
    <row r="2" spans="2:12" ht="18.75" hidden="1" x14ac:dyDescent="0.25">
      <c r="B2" s="571"/>
      <c r="C2" s="572"/>
      <c r="D2" s="1660"/>
      <c r="E2" s="572"/>
      <c r="F2" s="572"/>
      <c r="G2" s="572"/>
      <c r="H2" s="572"/>
      <c r="I2" s="572"/>
      <c r="J2" s="572"/>
      <c r="K2" s="573"/>
      <c r="L2" s="23"/>
    </row>
    <row r="3" spans="2:12" ht="45" customHeight="1" x14ac:dyDescent="0.25">
      <c r="B3" s="574" t="s">
        <v>3</v>
      </c>
      <c r="C3" s="575" t="s">
        <v>116</v>
      </c>
      <c r="D3" s="1661" t="s">
        <v>117</v>
      </c>
      <c r="E3" s="541" t="s">
        <v>118</v>
      </c>
      <c r="F3" s="541" t="s">
        <v>119</v>
      </c>
      <c r="G3" s="541" t="s">
        <v>120</v>
      </c>
      <c r="H3" s="541" t="s">
        <v>121</v>
      </c>
      <c r="I3" s="541" t="s">
        <v>122</v>
      </c>
      <c r="J3" s="541" t="s">
        <v>123</v>
      </c>
      <c r="K3" s="576" t="s">
        <v>124</v>
      </c>
    </row>
    <row r="4" spans="2:12" s="26" customFormat="1" ht="23.25" customHeight="1" x14ac:dyDescent="0.25">
      <c r="B4" s="2640">
        <v>1</v>
      </c>
      <c r="C4" s="577" t="s">
        <v>125</v>
      </c>
      <c r="D4" s="1658" t="s">
        <v>126</v>
      </c>
      <c r="E4" s="617">
        <v>808.37458164832685</v>
      </c>
      <c r="F4" s="617">
        <v>379.99455942915154</v>
      </c>
      <c r="G4" s="617">
        <v>2203.0803622708586</v>
      </c>
      <c r="H4" s="617">
        <v>126.43111767785456</v>
      </c>
      <c r="I4" s="617">
        <v>119.7039759692488</v>
      </c>
      <c r="J4" s="617">
        <v>236.33724642631779</v>
      </c>
      <c r="K4" s="1679">
        <v>3873.9218078642421</v>
      </c>
      <c r="L4" s="25"/>
    </row>
    <row r="5" spans="2:12" s="26" customFormat="1" ht="23.25" customHeight="1" x14ac:dyDescent="0.25">
      <c r="B5" s="2641"/>
      <c r="C5" s="517" t="s">
        <v>127</v>
      </c>
      <c r="D5" s="1658" t="s">
        <v>71</v>
      </c>
      <c r="E5" s="2118">
        <f>E4/$K$4</f>
        <v>0.20867085649671316</v>
      </c>
      <c r="F5" s="2118">
        <f t="shared" ref="F5:K5" si="0">F4/$K$4</f>
        <v>9.8090405092262023E-2</v>
      </c>
      <c r="G5" s="2118">
        <f t="shared" si="0"/>
        <v>0.56869510318935779</v>
      </c>
      <c r="H5" s="2118">
        <f t="shared" si="0"/>
        <v>3.2636466079721455E-2</v>
      </c>
      <c r="I5" s="2118">
        <f t="shared" si="0"/>
        <v>3.0899946335066479E-2</v>
      </c>
      <c r="J5" s="2118">
        <f>J4/$K$4</f>
        <v>6.1007231985566193E-2</v>
      </c>
      <c r="K5" s="2121">
        <f t="shared" si="0"/>
        <v>1</v>
      </c>
      <c r="L5" s="25"/>
    </row>
    <row r="6" spans="2:12" s="26" customFormat="1" ht="23.25" customHeight="1" x14ac:dyDescent="0.25">
      <c r="B6" s="2642"/>
      <c r="C6" s="517" t="s">
        <v>130</v>
      </c>
      <c r="D6" s="1658" t="s">
        <v>131</v>
      </c>
      <c r="E6" s="1708">
        <f t="shared" ref="E6:J6" si="1">E5*$K$6</f>
        <v>0.66560955763597573</v>
      </c>
      <c r="F6" s="1708">
        <f t="shared" si="1"/>
        <v>0.31288466553460759</v>
      </c>
      <c r="G6" s="1708">
        <f t="shared" si="1"/>
        <v>1.8139998197092575</v>
      </c>
      <c r="H6" s="1708">
        <f t="shared" si="1"/>
        <v>0.10410243248542517</v>
      </c>
      <c r="I6" s="1708">
        <f t="shared" si="1"/>
        <v>9.8563354540038284E-2</v>
      </c>
      <c r="J6" s="1708">
        <f t="shared" si="1"/>
        <v>0.19459831322994392</v>
      </c>
      <c r="K6" s="2122">
        <v>3.1897581138574567</v>
      </c>
      <c r="L6" s="25"/>
    </row>
    <row r="7" spans="2:12" s="26" customFormat="1" ht="23.25" customHeight="1" x14ac:dyDescent="0.25">
      <c r="B7" s="2640">
        <v>2</v>
      </c>
      <c r="C7" s="577" t="s">
        <v>128</v>
      </c>
      <c r="D7" s="1658" t="s">
        <v>126</v>
      </c>
      <c r="E7" s="617">
        <v>869.97244685865394</v>
      </c>
      <c r="F7" s="617">
        <v>785.4199776944198</v>
      </c>
      <c r="G7" s="617">
        <v>208.51454662345884</v>
      </c>
      <c r="H7" s="617">
        <v>215.2439989039797</v>
      </c>
      <c r="I7" s="617">
        <v>20.992627677743045</v>
      </c>
      <c r="J7" s="617">
        <v>140.9147250817191</v>
      </c>
      <c r="K7" s="1679">
        <v>2241.0583621503324</v>
      </c>
      <c r="L7" s="25"/>
    </row>
    <row r="8" spans="2:12" s="26" customFormat="1" ht="23.25" customHeight="1" x14ac:dyDescent="0.25">
      <c r="B8" s="2641"/>
      <c r="C8" s="517" t="s">
        <v>127</v>
      </c>
      <c r="D8" s="1658" t="s">
        <v>71</v>
      </c>
      <c r="E8" s="2118">
        <f>E7/$K$7</f>
        <v>0.38819714004409106</v>
      </c>
      <c r="F8" s="2118">
        <f t="shared" ref="F8:K8" si="2">F7/$K$7</f>
        <v>0.35046832825040591</v>
      </c>
      <c r="G8" s="2118">
        <f t="shared" si="2"/>
        <v>9.3042889977834262E-2</v>
      </c>
      <c r="H8" s="2118">
        <f t="shared" si="2"/>
        <v>9.6045690973192474E-2</v>
      </c>
      <c r="I8" s="2118">
        <f t="shared" si="2"/>
        <v>9.3672829018162079E-3</v>
      </c>
      <c r="J8" s="2118">
        <f t="shared" si="2"/>
        <v>6.2878650311680911E-2</v>
      </c>
      <c r="K8" s="2121">
        <f t="shared" si="2"/>
        <v>1</v>
      </c>
      <c r="L8" s="25"/>
    </row>
    <row r="9" spans="2:12" s="26" customFormat="1" ht="23.25" customHeight="1" x14ac:dyDescent="0.25">
      <c r="B9" s="2642"/>
      <c r="C9" s="517" t="s">
        <v>130</v>
      </c>
      <c r="D9" s="1658" t="s">
        <v>131</v>
      </c>
      <c r="E9" s="1708">
        <f t="shared" ref="E9:J9" si="3">E8*$K$9</f>
        <v>2.5051340370321848</v>
      </c>
      <c r="F9" s="1708">
        <f t="shared" si="3"/>
        <v>2.2616605003894192</v>
      </c>
      <c r="G9" s="1708">
        <f t="shared" si="3"/>
        <v>0.60042923180948682</v>
      </c>
      <c r="H9" s="1708">
        <f t="shared" si="3"/>
        <v>0.61980706385392592</v>
      </c>
      <c r="I9" s="1708">
        <f t="shared" si="3"/>
        <v>6.0449438728951269E-2</v>
      </c>
      <c r="J9" s="1708">
        <f t="shared" si="3"/>
        <v>0.40577178667659775</v>
      </c>
      <c r="K9" s="2119">
        <v>6.4532521716869278</v>
      </c>
      <c r="L9" s="25"/>
    </row>
    <row r="10" spans="2:12" s="26" customFormat="1" ht="23.25" customHeight="1" x14ac:dyDescent="0.25">
      <c r="B10" s="2640">
        <v>3</v>
      </c>
      <c r="C10" s="577" t="s">
        <v>132</v>
      </c>
      <c r="D10" s="1658" t="s">
        <v>126</v>
      </c>
      <c r="E10" s="617">
        <v>260.15238314735126</v>
      </c>
      <c r="F10" s="617">
        <v>57.239129759743449</v>
      </c>
      <c r="G10" s="617">
        <v>551.04306354685593</v>
      </c>
      <c r="H10" s="617">
        <v>14.022110661228437</v>
      </c>
      <c r="I10" s="617">
        <v>15.322593277180427</v>
      </c>
      <c r="J10" s="617">
        <v>36.090913170975085</v>
      </c>
      <c r="K10" s="1679">
        <v>933.87019388516853</v>
      </c>
      <c r="L10" s="25"/>
    </row>
    <row r="11" spans="2:12" s="26" customFormat="1" ht="23.25" customHeight="1" x14ac:dyDescent="0.25">
      <c r="B11" s="2641"/>
      <c r="C11" s="517" t="s">
        <v>127</v>
      </c>
      <c r="D11" s="1658" t="s">
        <v>71</v>
      </c>
      <c r="E11" s="2118">
        <f>E10/$K$10</f>
        <v>0.27857445804651132</v>
      </c>
      <c r="F11" s="2118">
        <f t="shared" ref="F11:K11" si="4">F10/$K$10</f>
        <v>6.1292383175452055E-2</v>
      </c>
      <c r="G11" s="2118">
        <f t="shared" si="4"/>
        <v>0.59006387306822417</v>
      </c>
      <c r="H11" s="2118">
        <f t="shared" si="4"/>
        <v>1.5015053219433448E-2</v>
      </c>
      <c r="I11" s="2118">
        <f t="shared" si="4"/>
        <v>1.6407626431928439E-2</v>
      </c>
      <c r="J11" s="2118">
        <f>J10/$K$10</f>
        <v>3.864660571382679E-2</v>
      </c>
      <c r="K11" s="2121">
        <f t="shared" si="4"/>
        <v>1</v>
      </c>
      <c r="L11" s="25"/>
    </row>
    <row r="12" spans="2:12" s="26" customFormat="1" ht="23.25" customHeight="1" x14ac:dyDescent="0.25">
      <c r="B12" s="2642"/>
      <c r="C12" s="517" t="s">
        <v>130</v>
      </c>
      <c r="D12" s="1658" t="s">
        <v>131</v>
      </c>
      <c r="E12" s="1708">
        <f t="shared" ref="E12:J12" si="5">E11*$K$12</f>
        <v>0.17771603928397131</v>
      </c>
      <c r="F12" s="1708">
        <f t="shared" si="5"/>
        <v>3.9101357865329506E-2</v>
      </c>
      <c r="G12" s="1708">
        <f t="shared" si="5"/>
        <v>0.37643011201241044</v>
      </c>
      <c r="H12" s="1708">
        <f t="shared" si="5"/>
        <v>9.578824298924888E-3</v>
      </c>
      <c r="I12" s="1708">
        <f t="shared" si="5"/>
        <v>1.0467213699277758E-2</v>
      </c>
      <c r="J12" s="1708">
        <f t="shared" si="5"/>
        <v>2.4654527724447289E-2</v>
      </c>
      <c r="K12" s="1679">
        <v>0.63794807510421325</v>
      </c>
      <c r="L12" s="25"/>
    </row>
    <row r="13" spans="2:12" s="26" customFormat="1" ht="25.5" customHeight="1" x14ac:dyDescent="0.25">
      <c r="B13" s="2640">
        <v>4</v>
      </c>
      <c r="C13" s="577" t="s">
        <v>134</v>
      </c>
      <c r="D13" s="1658" t="s">
        <v>126</v>
      </c>
      <c r="E13" s="617">
        <v>171.41591517858123</v>
      </c>
      <c r="F13" s="617">
        <v>412.7599270551147</v>
      </c>
      <c r="G13" s="617">
        <v>84.979359588577509</v>
      </c>
      <c r="H13" s="617">
        <v>56.96447847354591</v>
      </c>
      <c r="I13" s="617">
        <v>17.192777682866001</v>
      </c>
      <c r="J13" s="617">
        <v>1.6559541371781499</v>
      </c>
      <c r="K13" s="1679">
        <v>744.96842314850369</v>
      </c>
      <c r="L13" s="25"/>
    </row>
    <row r="14" spans="2:12" s="26" customFormat="1" ht="23.25" customHeight="1" x14ac:dyDescent="0.25">
      <c r="B14" s="2641"/>
      <c r="C14" s="517" t="s">
        <v>127</v>
      </c>
      <c r="D14" s="1658" t="s">
        <v>71</v>
      </c>
      <c r="E14" s="2118">
        <f>E13/$K$13</f>
        <v>0.23009822947141317</v>
      </c>
      <c r="F14" s="2118">
        <f t="shared" ref="F14:K14" si="6">F13/$K$13</f>
        <v>0.55406365455148188</v>
      </c>
      <c r="G14" s="2118">
        <f t="shared" si="6"/>
        <v>0.11407108938849282</v>
      </c>
      <c r="H14" s="2118">
        <f t="shared" si="6"/>
        <v>7.6465628211184578E-2</v>
      </c>
      <c r="I14" s="2118">
        <f t="shared" si="6"/>
        <v>2.3078532121137644E-2</v>
      </c>
      <c r="J14" s="2118">
        <f t="shared" si="6"/>
        <v>2.2228514467492379E-3</v>
      </c>
      <c r="K14" s="2121">
        <f t="shared" si="6"/>
        <v>1</v>
      </c>
      <c r="L14" s="25"/>
    </row>
    <row r="15" spans="2:12" s="26" customFormat="1" ht="24.75" customHeight="1" x14ac:dyDescent="0.25">
      <c r="B15" s="2646"/>
      <c r="C15" s="517" t="s">
        <v>130</v>
      </c>
      <c r="D15" s="1658" t="s">
        <v>131</v>
      </c>
      <c r="E15" s="1708">
        <f t="shared" ref="E15:J15" si="7">E14*$K$15</f>
        <v>1.1904098512296069</v>
      </c>
      <c r="F15" s="1708">
        <f t="shared" si="7"/>
        <v>2.8664402768396977</v>
      </c>
      <c r="G15" s="1708">
        <f t="shared" si="7"/>
        <v>0.59014512567305655</v>
      </c>
      <c r="H15" s="1708">
        <f t="shared" si="7"/>
        <v>0.39559381796270376</v>
      </c>
      <c r="I15" s="1708">
        <f t="shared" si="7"/>
        <v>0.11939645103759623</v>
      </c>
      <c r="J15" s="1708">
        <f t="shared" si="7"/>
        <v>1.1499889704101448E-2</v>
      </c>
      <c r="K15" s="2119">
        <v>5.1734854890637063</v>
      </c>
      <c r="L15" s="25"/>
    </row>
    <row r="16" spans="2:12" s="26" customFormat="1" ht="23.25" customHeight="1" x14ac:dyDescent="0.25">
      <c r="B16" s="2640">
        <v>5</v>
      </c>
      <c r="C16" s="577" t="s">
        <v>135</v>
      </c>
      <c r="D16" s="1658" t="s">
        <v>126</v>
      </c>
      <c r="E16" s="617">
        <v>155.47139126436136</v>
      </c>
      <c r="F16" s="617">
        <v>77.729727764979827</v>
      </c>
      <c r="G16" s="617">
        <v>104.0969950767722</v>
      </c>
      <c r="H16" s="617">
        <v>24.509425047523909</v>
      </c>
      <c r="I16" s="617">
        <v>6.384597008996689</v>
      </c>
      <c r="J16" s="617">
        <v>25.486778902253356</v>
      </c>
      <c r="K16" s="1679">
        <v>393.67891221096562</v>
      </c>
      <c r="L16" s="25"/>
    </row>
    <row r="17" spans="2:12" s="26" customFormat="1" ht="23.25" customHeight="1" x14ac:dyDescent="0.25">
      <c r="B17" s="2641"/>
      <c r="C17" s="517" t="s">
        <v>127</v>
      </c>
      <c r="D17" s="1658" t="s">
        <v>71</v>
      </c>
      <c r="E17" s="2118">
        <f>E16/$K$16</f>
        <v>0.39491927670498889</v>
      </c>
      <c r="F17" s="2118">
        <f t="shared" ref="F17:K17" si="8">F16/$K$16</f>
        <v>0.19744447912751251</v>
      </c>
      <c r="G17" s="2118">
        <f t="shared" si="8"/>
        <v>0.2644210595181396</v>
      </c>
      <c r="H17" s="2118">
        <f t="shared" si="8"/>
        <v>6.2257398827574841E-2</v>
      </c>
      <c r="I17" s="2118">
        <f t="shared" si="8"/>
        <v>1.6217777510966338E-2</v>
      </c>
      <c r="J17" s="2118">
        <f t="shared" si="8"/>
        <v>6.4740015560181788E-2</v>
      </c>
      <c r="K17" s="2121">
        <f t="shared" si="8"/>
        <v>1</v>
      </c>
      <c r="L17" s="25"/>
    </row>
    <row r="18" spans="2:12" s="26" customFormat="1" ht="23.25" customHeight="1" x14ac:dyDescent="0.25">
      <c r="B18" s="2642"/>
      <c r="C18" s="517" t="s">
        <v>130</v>
      </c>
      <c r="D18" s="1658" t="s">
        <v>131</v>
      </c>
      <c r="E18" s="1708">
        <f t="shared" ref="E18:J18" si="9">E17*$K$18</f>
        <v>1.2629325550122055</v>
      </c>
      <c r="F18" s="1708">
        <f t="shared" si="9"/>
        <v>0.63141779904514184</v>
      </c>
      <c r="G18" s="1708">
        <f t="shared" si="9"/>
        <v>0.84560563131422306</v>
      </c>
      <c r="H18" s="1708">
        <f t="shared" si="9"/>
        <v>0.19909612016345948</v>
      </c>
      <c r="I18" s="1708">
        <f t="shared" si="9"/>
        <v>5.186366023820245E-2</v>
      </c>
      <c r="J18" s="1708">
        <f t="shared" si="9"/>
        <v>0.20703540719798305</v>
      </c>
      <c r="K18" s="2119">
        <v>3.1979511497881035</v>
      </c>
      <c r="L18" s="25"/>
    </row>
    <row r="19" spans="2:12" s="26" customFormat="1" ht="23.25" customHeight="1" x14ac:dyDescent="0.25">
      <c r="B19" s="2640">
        <v>6</v>
      </c>
      <c r="C19" s="577" t="s">
        <v>141</v>
      </c>
      <c r="D19" s="1658" t="s">
        <v>126</v>
      </c>
      <c r="E19" s="617">
        <v>92.409046749029869</v>
      </c>
      <c r="F19" s="617">
        <v>220.35390680330372</v>
      </c>
      <c r="G19" s="617">
        <v>1.6188742009370252</v>
      </c>
      <c r="H19" s="617">
        <v>1.4039976057172447</v>
      </c>
      <c r="I19" s="617">
        <v>1.0282038359951913</v>
      </c>
      <c r="J19" s="617">
        <v>0.29911823391886372</v>
      </c>
      <c r="K19" s="1679">
        <v>317.11314086764486</v>
      </c>
      <c r="L19" s="25"/>
    </row>
    <row r="20" spans="2:12" s="26" customFormat="1" ht="23.25" customHeight="1" x14ac:dyDescent="0.25">
      <c r="B20" s="2641"/>
      <c r="C20" s="517" t="s">
        <v>127</v>
      </c>
      <c r="D20" s="1658" t="s">
        <v>71</v>
      </c>
      <c r="E20" s="2118">
        <f>E19/$K$19</f>
        <v>0.29140718197988241</v>
      </c>
      <c r="F20" s="2118">
        <f t="shared" ref="F20:K20" si="10">F19/$K$19</f>
        <v>0.69487472578524889</v>
      </c>
      <c r="G20" s="2118">
        <f t="shared" si="10"/>
        <v>5.1050366330063343E-3</v>
      </c>
      <c r="H20" s="2118">
        <f t="shared" si="10"/>
        <v>4.4274343279367238E-3</v>
      </c>
      <c r="I20" s="2118">
        <f t="shared" si="10"/>
        <v>3.2423879791986859E-3</v>
      </c>
      <c r="J20" s="2118">
        <f t="shared" si="10"/>
        <v>9.4325398531405617E-4</v>
      </c>
      <c r="K20" s="2121">
        <f t="shared" si="10"/>
        <v>1</v>
      </c>
      <c r="L20" s="25"/>
    </row>
    <row r="21" spans="2:12" s="26" customFormat="1" ht="23.25" customHeight="1" x14ac:dyDescent="0.25">
      <c r="B21" s="2642"/>
      <c r="C21" s="517" t="s">
        <v>130</v>
      </c>
      <c r="D21" s="1658" t="s">
        <v>131</v>
      </c>
      <c r="E21" s="1708">
        <f t="shared" ref="E21:J21" si="11">E20*$K$21</f>
        <v>0.99990657360283564</v>
      </c>
      <c r="F21" s="1708">
        <f t="shared" si="11"/>
        <v>2.3843262936158696</v>
      </c>
      <c r="G21" s="1708">
        <f t="shared" si="11"/>
        <v>1.7516931645764032E-2</v>
      </c>
      <c r="H21" s="1708">
        <f t="shared" si="11"/>
        <v>1.5191872275146625E-2</v>
      </c>
      <c r="I21" s="1708">
        <f t="shared" si="11"/>
        <v>1.1125618224452001E-2</v>
      </c>
      <c r="J21" s="1708">
        <f t="shared" si="11"/>
        <v>3.2365909930034248E-3</v>
      </c>
      <c r="K21" s="2119">
        <v>3.4313038093613808</v>
      </c>
      <c r="L21" s="25"/>
    </row>
    <row r="22" spans="2:12" s="26" customFormat="1" ht="23.25" customHeight="1" x14ac:dyDescent="0.25">
      <c r="B22" s="2640">
        <v>7</v>
      </c>
      <c r="C22" s="577" t="s">
        <v>138</v>
      </c>
      <c r="D22" s="1658" t="s">
        <v>126</v>
      </c>
      <c r="E22" s="617">
        <v>129.47639814187096</v>
      </c>
      <c r="F22" s="617">
        <v>54.134073511071442</v>
      </c>
      <c r="G22" s="617">
        <v>68.201395686015843</v>
      </c>
      <c r="H22" s="617">
        <v>48.12342399915098</v>
      </c>
      <c r="I22" s="617">
        <v>0.32721026938144626</v>
      </c>
      <c r="J22" s="617">
        <v>9.5844209322997234</v>
      </c>
      <c r="K22" s="1679">
        <v>309.84693120135665</v>
      </c>
      <c r="L22" s="25"/>
    </row>
    <row r="23" spans="2:12" s="26" customFormat="1" ht="23.25" customHeight="1" x14ac:dyDescent="0.25">
      <c r="B23" s="2641"/>
      <c r="C23" s="517" t="s">
        <v>127</v>
      </c>
      <c r="D23" s="1658" t="s">
        <v>71</v>
      </c>
      <c r="E23" s="2118">
        <f>E22/$K$22</f>
        <v>0.4178721333138834</v>
      </c>
      <c r="F23" s="2118">
        <f t="shared" ref="F23:K23" si="12">F22/$K$22</f>
        <v>0.17471231133766485</v>
      </c>
      <c r="G23" s="2118">
        <f t="shared" si="12"/>
        <v>0.22011318757162254</v>
      </c>
      <c r="H23" s="2118">
        <f t="shared" si="12"/>
        <v>0.15531354082663987</v>
      </c>
      <c r="I23" s="2118">
        <f t="shared" si="12"/>
        <v>1.0560384384404502E-3</v>
      </c>
      <c r="J23" s="2118">
        <f t="shared" si="12"/>
        <v>3.0932760557409577E-2</v>
      </c>
      <c r="K23" s="2121">
        <f t="shared" si="12"/>
        <v>1</v>
      </c>
      <c r="L23" s="25"/>
    </row>
    <row r="24" spans="2:12" s="26" customFormat="1" ht="23.25" customHeight="1" x14ac:dyDescent="0.25">
      <c r="B24" s="2642"/>
      <c r="C24" s="517" t="s">
        <v>130</v>
      </c>
      <c r="D24" s="1658" t="s">
        <v>131</v>
      </c>
      <c r="E24" s="1708">
        <f t="shared" ref="E24:J24" si="13">E23*$K$24</f>
        <v>2.5059772285700999</v>
      </c>
      <c r="F24" s="1708">
        <f t="shared" si="13"/>
        <v>1.0477489137428717</v>
      </c>
      <c r="G24" s="1708">
        <f t="shared" si="13"/>
        <v>1.3200177561209461</v>
      </c>
      <c r="H24" s="1708">
        <f t="shared" si="13"/>
        <v>0.93141457774068992</v>
      </c>
      <c r="I24" s="1708">
        <f t="shared" si="13"/>
        <v>6.3330575749080964E-3</v>
      </c>
      <c r="J24" s="1708">
        <f t="shared" si="13"/>
        <v>0.18550362035137968</v>
      </c>
      <c r="K24" s="2119">
        <v>5.9969953217429373</v>
      </c>
      <c r="L24" s="25"/>
    </row>
    <row r="25" spans="2:12" s="26" customFormat="1" ht="23.25" customHeight="1" x14ac:dyDescent="0.25">
      <c r="B25" s="2640">
        <v>8</v>
      </c>
      <c r="C25" s="577" t="s">
        <v>136</v>
      </c>
      <c r="D25" s="1658" t="s">
        <v>126</v>
      </c>
      <c r="E25" s="617">
        <v>105.07082800210809</v>
      </c>
      <c r="F25" s="617">
        <v>113.77854986830616</v>
      </c>
      <c r="G25" s="617">
        <v>5.8873839202297473</v>
      </c>
      <c r="H25" s="617">
        <v>22.102075182814172</v>
      </c>
      <c r="I25" s="617">
        <v>29.963386912107467</v>
      </c>
      <c r="J25" s="617">
        <v>11.131325498674443</v>
      </c>
      <c r="K25" s="1679">
        <v>287.93353942037874</v>
      </c>
      <c r="L25" s="25"/>
    </row>
    <row r="26" spans="2:12" s="26" customFormat="1" ht="23.25" customHeight="1" x14ac:dyDescent="0.25">
      <c r="B26" s="2641"/>
      <c r="C26" s="517" t="s">
        <v>127</v>
      </c>
      <c r="D26" s="1658" t="s">
        <v>71</v>
      </c>
      <c r="E26" s="2118">
        <f>E25/$K$25</f>
        <v>0.36491347348287279</v>
      </c>
      <c r="F26" s="2118">
        <f t="shared" ref="F26:K26" si="14">F25/$K$25</f>
        <v>0.39515559770267383</v>
      </c>
      <c r="G26" s="2118">
        <f t="shared" si="14"/>
        <v>2.0447023754444436E-2</v>
      </c>
      <c r="H26" s="2118">
        <f t="shared" si="14"/>
        <v>7.6761030435379282E-2</v>
      </c>
      <c r="I26" s="2118">
        <f t="shared" si="14"/>
        <v>0.1040635522086969</v>
      </c>
      <c r="J26" s="2118">
        <f t="shared" si="14"/>
        <v>3.8659357020659098E-2</v>
      </c>
      <c r="K26" s="2121">
        <f t="shared" si="14"/>
        <v>1</v>
      </c>
      <c r="L26" s="25"/>
    </row>
    <row r="27" spans="2:12" s="26" customFormat="1" ht="23.25" customHeight="1" x14ac:dyDescent="0.25">
      <c r="B27" s="2642"/>
      <c r="C27" s="517" t="s">
        <v>130</v>
      </c>
      <c r="D27" s="1658" t="s">
        <v>131</v>
      </c>
      <c r="E27" s="1708">
        <f t="shared" ref="E27:J27" si="15">E26*$K$27</f>
        <v>2.6184751743148342</v>
      </c>
      <c r="F27" s="1708">
        <f t="shared" si="15"/>
        <v>2.8354807310905041</v>
      </c>
      <c r="G27" s="1708">
        <f t="shared" si="15"/>
        <v>0.14671977874270337</v>
      </c>
      <c r="H27" s="1708">
        <f t="shared" si="15"/>
        <v>0.55080688205747996</v>
      </c>
      <c r="I27" s="1708">
        <f t="shared" si="15"/>
        <v>0.74671901097200144</v>
      </c>
      <c r="J27" s="1708">
        <f t="shared" si="15"/>
        <v>0.27740429983964654</v>
      </c>
      <c r="K27" s="2119">
        <v>7.1756056287073005</v>
      </c>
      <c r="L27" s="25"/>
    </row>
    <row r="28" spans="2:12" s="26" customFormat="1" ht="23.25" customHeight="1" x14ac:dyDescent="0.25">
      <c r="B28" s="2640">
        <v>9</v>
      </c>
      <c r="C28" s="577" t="s">
        <v>142</v>
      </c>
      <c r="D28" s="1658" t="s">
        <v>126</v>
      </c>
      <c r="E28" s="617">
        <v>170.35327036692428</v>
      </c>
      <c r="F28" s="617">
        <v>115.00822662722969</v>
      </c>
      <c r="G28" s="617">
        <v>0.149760349491667</v>
      </c>
      <c r="H28" s="617">
        <v>0</v>
      </c>
      <c r="I28" s="617">
        <v>0</v>
      </c>
      <c r="J28" s="617">
        <v>1.6996941927337159</v>
      </c>
      <c r="K28" s="1679">
        <v>287.21095120837987</v>
      </c>
      <c r="L28" s="25"/>
    </row>
    <row r="29" spans="2:12" s="26" customFormat="1" ht="23.25" customHeight="1" x14ac:dyDescent="0.25">
      <c r="B29" s="2641"/>
      <c r="C29" s="517" t="s">
        <v>127</v>
      </c>
      <c r="D29" s="1658" t="s">
        <v>71</v>
      </c>
      <c r="E29" s="2118">
        <f>E28/$K$28</f>
        <v>0.59312943900710824</v>
      </c>
      <c r="F29" s="2118">
        <f t="shared" ref="F29:K29" si="16">F28/$K$28</f>
        <v>0.40043120272175098</v>
      </c>
      <c r="G29" s="2118">
        <f t="shared" si="16"/>
        <v>5.2142980224668218E-4</v>
      </c>
      <c r="H29" s="2118">
        <f t="shared" si="16"/>
        <v>0</v>
      </c>
      <c r="I29" s="2118">
        <f t="shared" si="16"/>
        <v>0</v>
      </c>
      <c r="J29" s="2118">
        <f t="shared" si="16"/>
        <v>5.917929610910061E-3</v>
      </c>
      <c r="K29" s="2121">
        <f t="shared" si="16"/>
        <v>1</v>
      </c>
      <c r="L29" s="25"/>
    </row>
    <row r="30" spans="2:12" s="26" customFormat="1" ht="23.25" customHeight="1" x14ac:dyDescent="0.25">
      <c r="B30" s="2642"/>
      <c r="C30" s="517" t="s">
        <v>130</v>
      </c>
      <c r="D30" s="1658" t="s">
        <v>131</v>
      </c>
      <c r="E30" s="1708">
        <f t="shared" ref="E30:J30" si="17">E29*$K$30</f>
        <v>4.9283010439212482</v>
      </c>
      <c r="F30" s="1708">
        <f t="shared" si="17"/>
        <v>3.3271751233521152</v>
      </c>
      <c r="G30" s="1708">
        <f t="shared" si="17"/>
        <v>4.3325501479841017E-3</v>
      </c>
      <c r="H30" s="1708">
        <f t="shared" si="17"/>
        <v>0</v>
      </c>
      <c r="I30" s="1708">
        <f t="shared" si="17"/>
        <v>0</v>
      </c>
      <c r="J30" s="1708">
        <f t="shared" si="17"/>
        <v>4.9171962747495648E-2</v>
      </c>
      <c r="K30" s="2119">
        <v>8.3089806706798548</v>
      </c>
      <c r="L30" s="25"/>
    </row>
    <row r="31" spans="2:12" s="26" customFormat="1" ht="23.25" customHeight="1" x14ac:dyDescent="0.25">
      <c r="B31" s="2640">
        <v>10</v>
      </c>
      <c r="C31" s="577" t="s">
        <v>145</v>
      </c>
      <c r="D31" s="1658" t="s">
        <v>126</v>
      </c>
      <c r="E31" s="617">
        <v>78.281271446027986</v>
      </c>
      <c r="F31" s="617">
        <v>41.537759419514771</v>
      </c>
      <c r="G31" s="617">
        <v>123.10953801802825</v>
      </c>
      <c r="H31" s="617">
        <v>0</v>
      </c>
      <c r="I31" s="617">
        <v>2.7387504746921025</v>
      </c>
      <c r="J31" s="617">
        <v>29.389381348599446</v>
      </c>
      <c r="K31" s="1679">
        <v>275.05670540072106</v>
      </c>
      <c r="L31" s="25"/>
    </row>
    <row r="32" spans="2:12" s="26" customFormat="1" ht="23.25" customHeight="1" x14ac:dyDescent="0.25">
      <c r="B32" s="2641"/>
      <c r="C32" s="517" t="s">
        <v>127</v>
      </c>
      <c r="D32" s="1658" t="s">
        <v>71</v>
      </c>
      <c r="E32" s="2118">
        <f>E31/$K$31</f>
        <v>0.28460048386016468</v>
      </c>
      <c r="F32" s="2118">
        <f t="shared" ref="F32:K32" si="18">F31/$K$31</f>
        <v>0.15101525832282392</v>
      </c>
      <c r="G32" s="2118">
        <f t="shared" si="18"/>
        <v>0.44757875594661112</v>
      </c>
      <c r="H32" s="2118">
        <f t="shared" si="18"/>
        <v>0</v>
      </c>
      <c r="I32" s="2118">
        <f t="shared" si="18"/>
        <v>9.9570394791943257E-3</v>
      </c>
      <c r="J32" s="2118">
        <f t="shared" si="18"/>
        <v>0.10684844532614839</v>
      </c>
      <c r="K32" s="2121">
        <f t="shared" si="18"/>
        <v>1</v>
      </c>
      <c r="L32" s="25"/>
    </row>
    <row r="33" spans="2:12" s="26" customFormat="1" ht="23.25" customHeight="1" x14ac:dyDescent="0.25">
      <c r="B33" s="2642"/>
      <c r="C33" s="517" t="s">
        <v>130</v>
      </c>
      <c r="D33" s="1658" t="s">
        <v>131</v>
      </c>
      <c r="E33" s="1708">
        <f t="shared" ref="E33:J33" si="19">E32*$K$33</f>
        <v>0.27397778527749328</v>
      </c>
      <c r="F33" s="1708">
        <f t="shared" si="19"/>
        <v>0.14537862148795538</v>
      </c>
      <c r="G33" s="1708">
        <f t="shared" si="19"/>
        <v>0.43087290164889336</v>
      </c>
      <c r="H33" s="1708">
        <f t="shared" si="19"/>
        <v>0</v>
      </c>
      <c r="I33" s="1708">
        <f t="shared" si="19"/>
        <v>9.5853934871403916E-3</v>
      </c>
      <c r="J33" s="1708">
        <f t="shared" si="19"/>
        <v>0.10286033253964871</v>
      </c>
      <c r="K33" s="2119">
        <v>0.96267505086923633</v>
      </c>
      <c r="L33" s="25"/>
    </row>
    <row r="34" spans="2:12" s="26" customFormat="1" ht="23.25" customHeight="1" x14ac:dyDescent="0.25">
      <c r="B34" s="2640">
        <v>11</v>
      </c>
      <c r="C34" s="577" t="s">
        <v>139</v>
      </c>
      <c r="D34" s="1658" t="s">
        <v>126</v>
      </c>
      <c r="E34" s="617">
        <v>123.90174961082219</v>
      </c>
      <c r="F34" s="617">
        <v>28.545533145573376</v>
      </c>
      <c r="G34" s="617">
        <v>14.131740119355499</v>
      </c>
      <c r="H34" s="617">
        <v>4.1161441448477918</v>
      </c>
      <c r="I34" s="617">
        <v>34.212909612111133</v>
      </c>
      <c r="J34" s="617">
        <v>62.407170391227716</v>
      </c>
      <c r="K34" s="1679">
        <v>267.31524873416777</v>
      </c>
      <c r="L34" s="25"/>
    </row>
    <row r="35" spans="2:12" s="26" customFormat="1" ht="23.25" customHeight="1" x14ac:dyDescent="0.25">
      <c r="B35" s="2641"/>
      <c r="C35" s="517" t="s">
        <v>127</v>
      </c>
      <c r="D35" s="1658" t="s">
        <v>71</v>
      </c>
      <c r="E35" s="2118">
        <f>E34/$K$34</f>
        <v>0.46350423403655716</v>
      </c>
      <c r="F35" s="2118">
        <f t="shared" ref="F35:K35" si="20">F34/$K$34</f>
        <v>0.10678602616478697</v>
      </c>
      <c r="G35" s="2118">
        <f t="shared" si="20"/>
        <v>5.2865447019106789E-2</v>
      </c>
      <c r="H35" s="2118">
        <f t="shared" si="20"/>
        <v>1.5398089575283078E-2</v>
      </c>
      <c r="I35" s="2118">
        <f t="shared" si="20"/>
        <v>0.12798712297230092</v>
      </c>
      <c r="J35" s="2118">
        <f t="shared" si="20"/>
        <v>0.23345907383416298</v>
      </c>
      <c r="K35" s="2121">
        <f t="shared" si="20"/>
        <v>1</v>
      </c>
      <c r="L35" s="25"/>
    </row>
    <row r="36" spans="2:12" s="26" customFormat="1" ht="23.25" customHeight="1" x14ac:dyDescent="0.25">
      <c r="B36" s="2642"/>
      <c r="C36" s="517" t="s">
        <v>130</v>
      </c>
      <c r="D36" s="1658" t="s">
        <v>131</v>
      </c>
      <c r="E36" s="1708">
        <f t="shared" ref="E36:J36" si="21">E35*$K$36</f>
        <v>0.58221112444465906</v>
      </c>
      <c r="F36" s="1708">
        <f t="shared" si="21"/>
        <v>0.13413472370453861</v>
      </c>
      <c r="G36" s="1708">
        <f t="shared" si="21"/>
        <v>6.6404682186433153E-2</v>
      </c>
      <c r="H36" s="1708">
        <f t="shared" si="21"/>
        <v>1.9341655129773996E-2</v>
      </c>
      <c r="I36" s="1708">
        <f t="shared" si="21"/>
        <v>0.16076557948824052</v>
      </c>
      <c r="J36" s="1708">
        <f t="shared" si="21"/>
        <v>0.2932496834065087</v>
      </c>
      <c r="K36" s="2119">
        <v>1.2561074563964809</v>
      </c>
      <c r="L36" s="25"/>
    </row>
    <row r="37" spans="2:12" s="26" customFormat="1" ht="23.25" customHeight="1" x14ac:dyDescent="0.25">
      <c r="B37" s="2640">
        <v>12</v>
      </c>
      <c r="C37" s="577" t="s">
        <v>137</v>
      </c>
      <c r="D37" s="1658" t="s">
        <v>126</v>
      </c>
      <c r="E37" s="617">
        <v>100.29298085484933</v>
      </c>
      <c r="F37" s="617">
        <v>67.514208305803294</v>
      </c>
      <c r="G37" s="617">
        <v>35.699997987624641</v>
      </c>
      <c r="H37" s="617">
        <v>0</v>
      </c>
      <c r="I37" s="617">
        <v>1.4528804411988003</v>
      </c>
      <c r="J37" s="617">
        <v>34.926682274985453</v>
      </c>
      <c r="K37" s="1679">
        <v>239.88675459578974</v>
      </c>
      <c r="L37" s="25"/>
    </row>
    <row r="38" spans="2:12" s="26" customFormat="1" ht="23.25" customHeight="1" x14ac:dyDescent="0.25">
      <c r="B38" s="2641"/>
      <c r="C38" s="517" t="s">
        <v>127</v>
      </c>
      <c r="D38" s="1658" t="s">
        <v>71</v>
      </c>
      <c r="E38" s="2118">
        <f>E37/$K$37</f>
        <v>0.41808469593847919</v>
      </c>
      <c r="F38" s="2118">
        <f t="shared" ref="F38:K38" si="22">F37/$K$37</f>
        <v>0.28144200132918984</v>
      </c>
      <c r="G38" s="2118">
        <f t="shared" si="22"/>
        <v>0.14882021330347855</v>
      </c>
      <c r="H38" s="2118">
        <f t="shared" si="22"/>
        <v>0</v>
      </c>
      <c r="I38" s="2118">
        <f t="shared" si="22"/>
        <v>6.056526312371479E-3</v>
      </c>
      <c r="J38" s="2118">
        <f t="shared" si="22"/>
        <v>0.14559654339330685</v>
      </c>
      <c r="K38" s="2121">
        <f t="shared" si="22"/>
        <v>1</v>
      </c>
      <c r="L38" s="25"/>
    </row>
    <row r="39" spans="2:12" s="26" customFormat="1" ht="23.25" customHeight="1" x14ac:dyDescent="0.25">
      <c r="B39" s="2642"/>
      <c r="C39" s="517" t="s">
        <v>130</v>
      </c>
      <c r="D39" s="1658" t="s">
        <v>131</v>
      </c>
      <c r="E39" s="1708">
        <f t="shared" ref="E39:J39" si="23">E38*$K$39</f>
        <v>1.1928979052929698</v>
      </c>
      <c r="F39" s="1708">
        <f t="shared" si="23"/>
        <v>0.80302287337600708</v>
      </c>
      <c r="G39" s="1708">
        <f t="shared" si="23"/>
        <v>0.42462047149675031</v>
      </c>
      <c r="H39" s="1708">
        <f t="shared" si="23"/>
        <v>0</v>
      </c>
      <c r="I39" s="1708">
        <f t="shared" si="23"/>
        <v>1.7280751057299686E-2</v>
      </c>
      <c r="J39" s="1708">
        <f t="shared" si="23"/>
        <v>0.41542255270049366</v>
      </c>
      <c r="K39" s="2119">
        <v>2.8532446101985607</v>
      </c>
      <c r="L39" s="25"/>
    </row>
    <row r="40" spans="2:12" ht="23.25" customHeight="1" x14ac:dyDescent="0.25">
      <c r="B40" s="2640">
        <v>13</v>
      </c>
      <c r="C40" s="577" t="s">
        <v>143</v>
      </c>
      <c r="D40" s="1658" t="s">
        <v>126</v>
      </c>
      <c r="E40" s="617">
        <v>66.087438176947828</v>
      </c>
      <c r="F40" s="617">
        <v>26.309291304185628</v>
      </c>
      <c r="G40" s="617">
        <v>3.7823006239948715</v>
      </c>
      <c r="H40" s="617">
        <v>101.63119242030342</v>
      </c>
      <c r="I40" s="617">
        <v>4.9532629419205687</v>
      </c>
      <c r="J40" s="617">
        <v>12.792251543105317</v>
      </c>
      <c r="K40" s="1679">
        <v>215.55573889146774</v>
      </c>
      <c r="L40" s="25"/>
    </row>
    <row r="41" spans="2:12" ht="23.25" customHeight="1" x14ac:dyDescent="0.25">
      <c r="B41" s="2641"/>
      <c r="C41" s="517" t="s">
        <v>127</v>
      </c>
      <c r="D41" s="1658" t="s">
        <v>71</v>
      </c>
      <c r="E41" s="2118">
        <f>E40/$K$40</f>
        <v>0.3065909472733771</v>
      </c>
      <c r="F41" s="2118">
        <f t="shared" ref="F41:K41" si="24">F40/$K$40</f>
        <v>0.12205330945715322</v>
      </c>
      <c r="G41" s="2118">
        <f t="shared" si="24"/>
        <v>1.7546740548157056E-2</v>
      </c>
      <c r="H41" s="2118">
        <f t="shared" si="24"/>
        <v>0.47148451227955801</v>
      </c>
      <c r="I41" s="2118">
        <f t="shared" si="24"/>
        <v>2.2979035340898697E-2</v>
      </c>
      <c r="J41" s="2118">
        <f t="shared" si="24"/>
        <v>5.9345446374527808E-2</v>
      </c>
      <c r="K41" s="2121">
        <f t="shared" si="24"/>
        <v>1</v>
      </c>
      <c r="L41" s="25"/>
    </row>
    <row r="42" spans="2:12" ht="23.25" customHeight="1" x14ac:dyDescent="0.25">
      <c r="B42" s="2642"/>
      <c r="C42" s="517" t="s">
        <v>130</v>
      </c>
      <c r="D42" s="1658" t="s">
        <v>131</v>
      </c>
      <c r="E42" s="1708">
        <f t="shared" ref="E42:J42" si="25">E41*$K$42</f>
        <v>0.99154750146671633</v>
      </c>
      <c r="F42" s="1708">
        <f t="shared" si="25"/>
        <v>0.39473329240237864</v>
      </c>
      <c r="G42" s="1708">
        <f t="shared" si="25"/>
        <v>5.6748011981894046E-2</v>
      </c>
      <c r="H42" s="1708">
        <f t="shared" si="25"/>
        <v>1.5248307045223852</v>
      </c>
      <c r="I42" s="1708">
        <f t="shared" si="25"/>
        <v>7.4316627027043336E-2</v>
      </c>
      <c r="J42" s="1708">
        <f t="shared" si="25"/>
        <v>0.19192944083773267</v>
      </c>
      <c r="K42" s="2119">
        <v>3.2341056064600169</v>
      </c>
      <c r="L42" s="25"/>
    </row>
    <row r="43" spans="2:12" s="26" customFormat="1" ht="23.25" customHeight="1" x14ac:dyDescent="0.25">
      <c r="B43" s="2640">
        <v>14</v>
      </c>
      <c r="C43" s="577" t="s">
        <v>140</v>
      </c>
      <c r="D43" s="1658" t="s">
        <v>126</v>
      </c>
      <c r="E43" s="617">
        <v>82.824048404306637</v>
      </c>
      <c r="F43" s="617">
        <v>85.699341765745871</v>
      </c>
      <c r="G43" s="617">
        <v>5.2068157190607041</v>
      </c>
      <c r="H43" s="617">
        <v>2.6329682717735259</v>
      </c>
      <c r="I43" s="617">
        <v>2.5178503971398687</v>
      </c>
      <c r="J43" s="617">
        <v>8.1056087414739526</v>
      </c>
      <c r="K43" s="1679">
        <v>186.98663255458462</v>
      </c>
      <c r="L43" s="25"/>
    </row>
    <row r="44" spans="2:12" s="26" customFormat="1" ht="23.25" customHeight="1" x14ac:dyDescent="0.25">
      <c r="B44" s="2641"/>
      <c r="C44" s="517" t="s">
        <v>127</v>
      </c>
      <c r="D44" s="1658" t="s">
        <v>71</v>
      </c>
      <c r="E44" s="2118">
        <f>E43/$K$43</f>
        <v>0.44294101280276743</v>
      </c>
      <c r="F44" s="2118">
        <f t="shared" ref="F44:K44" si="26">F43/$K$43</f>
        <v>0.45831801233560776</v>
      </c>
      <c r="G44" s="2118">
        <f t="shared" si="26"/>
        <v>2.7845924855300793E-2</v>
      </c>
      <c r="H44" s="2118">
        <f t="shared" si="26"/>
        <v>1.4081050799205751E-2</v>
      </c>
      <c r="I44" s="2118">
        <f t="shared" si="26"/>
        <v>1.3465403182790967E-2</v>
      </c>
      <c r="J44" s="2118">
        <f t="shared" si="26"/>
        <v>4.3348600008119756E-2</v>
      </c>
      <c r="K44" s="2121">
        <f t="shared" si="26"/>
        <v>1</v>
      </c>
      <c r="L44" s="25"/>
    </row>
    <row r="45" spans="2:12" s="26" customFormat="1" ht="23.25" customHeight="1" x14ac:dyDescent="0.25">
      <c r="B45" s="2642"/>
      <c r="C45" s="517" t="s">
        <v>130</v>
      </c>
      <c r="D45" s="1658" t="s">
        <v>131</v>
      </c>
      <c r="E45" s="1708">
        <f t="shared" ref="E45:J45" si="27">E44*$K$45</f>
        <v>0.62770742173030691</v>
      </c>
      <c r="F45" s="1708">
        <f t="shared" si="27"/>
        <v>0.64949871323802122</v>
      </c>
      <c r="G45" s="1708">
        <f t="shared" si="27"/>
        <v>3.9461447893514009E-2</v>
      </c>
      <c r="H45" s="1708">
        <f t="shared" si="27"/>
        <v>1.9954756585971522E-2</v>
      </c>
      <c r="I45" s="1708">
        <f t="shared" si="27"/>
        <v>1.9082300509825307E-2</v>
      </c>
      <c r="J45" s="1708">
        <f t="shared" si="27"/>
        <v>6.1430838780402966E-2</v>
      </c>
      <c r="K45" s="2119">
        <v>1.4171354730924683</v>
      </c>
      <c r="L45" s="25"/>
    </row>
    <row r="46" spans="2:12" s="26" customFormat="1" ht="23.25" customHeight="1" x14ac:dyDescent="0.25">
      <c r="B46" s="2631"/>
      <c r="C46" s="577" t="s">
        <v>147</v>
      </c>
      <c r="D46" s="1658" t="s">
        <v>126</v>
      </c>
      <c r="E46" s="617">
        <v>3340.2661094125697</v>
      </c>
      <c r="F46" s="617">
        <v>2520.2943357047884</v>
      </c>
      <c r="G46" s="617">
        <v>3421.4797605056792</v>
      </c>
      <c r="H46" s="617">
        <v>617.18093238873962</v>
      </c>
      <c r="I46" s="617">
        <v>271.54172512247015</v>
      </c>
      <c r="J46" s="617">
        <v>618.49184176239021</v>
      </c>
      <c r="K46" s="1679">
        <v>10789.254720870284</v>
      </c>
      <c r="L46" s="25"/>
    </row>
    <row r="47" spans="2:12" s="26" customFormat="1" ht="24.75" customHeight="1" x14ac:dyDescent="0.25">
      <c r="B47" s="2632"/>
      <c r="C47" s="517" t="s">
        <v>148</v>
      </c>
      <c r="D47" s="1658" t="s">
        <v>126</v>
      </c>
      <c r="E47" s="617">
        <f>E48-E46</f>
        <v>1459.8919451043239</v>
      </c>
      <c r="F47" s="617">
        <f t="shared" ref="F47:K47" si="28">F48-F46</f>
        <v>1079.0477100975963</v>
      </c>
      <c r="G47" s="617">
        <f t="shared" si="28"/>
        <v>544.08323314894687</v>
      </c>
      <c r="H47" s="617">
        <f t="shared" si="28"/>
        <v>124.21196389442605</v>
      </c>
      <c r="I47" s="617">
        <f t="shared" si="28"/>
        <v>113.59695160499075</v>
      </c>
      <c r="J47" s="617">
        <f t="shared" si="28"/>
        <v>228.14066286360446</v>
      </c>
      <c r="K47" s="1678">
        <f t="shared" si="28"/>
        <v>3548.9724735812124</v>
      </c>
      <c r="L47" s="25"/>
    </row>
    <row r="48" spans="2:12" s="26" customFormat="1" ht="23.25" customHeight="1" x14ac:dyDescent="0.25">
      <c r="B48" s="2633"/>
      <c r="C48" s="577" t="s">
        <v>146</v>
      </c>
      <c r="D48" s="1102" t="s">
        <v>126</v>
      </c>
      <c r="E48" s="614">
        <v>4800.1580545168936</v>
      </c>
      <c r="F48" s="614">
        <v>3599.3420458023847</v>
      </c>
      <c r="G48" s="614">
        <v>3965.5629936546261</v>
      </c>
      <c r="H48" s="614">
        <v>741.39289628316567</v>
      </c>
      <c r="I48" s="614">
        <v>385.1386767274609</v>
      </c>
      <c r="J48" s="614">
        <v>846.63250462599467</v>
      </c>
      <c r="K48" s="1679">
        <v>14338.227194451496</v>
      </c>
      <c r="L48" s="25"/>
    </row>
    <row r="49" spans="2:12" s="26" customFormat="1" ht="26.25" customHeight="1" x14ac:dyDescent="0.25">
      <c r="B49" s="2631"/>
      <c r="C49" s="577" t="s">
        <v>127</v>
      </c>
      <c r="D49" s="1658" t="s">
        <v>71</v>
      </c>
      <c r="E49" s="2120">
        <f>E48/$K$48</f>
        <v>0.33478044317601718</v>
      </c>
      <c r="F49" s="2120">
        <f t="shared" ref="F49:K49" si="29">F48/$K$48</f>
        <v>0.25103117679675435</v>
      </c>
      <c r="G49" s="2120">
        <f t="shared" si="29"/>
        <v>0.27657275476770177</v>
      </c>
      <c r="H49" s="2120">
        <f t="shared" si="29"/>
        <v>5.1707431206702077E-2</v>
      </c>
      <c r="I49" s="2120">
        <f t="shared" si="29"/>
        <v>2.6860969037824919E-2</v>
      </c>
      <c r="J49" s="2120">
        <f t="shared" si="29"/>
        <v>5.904722342198751E-2</v>
      </c>
      <c r="K49" s="2123">
        <f t="shared" si="29"/>
        <v>1</v>
      </c>
      <c r="L49" s="25"/>
    </row>
    <row r="50" spans="2:12" s="26" customFormat="1" ht="23.25" customHeight="1" x14ac:dyDescent="0.25">
      <c r="B50" s="2633"/>
      <c r="C50" s="577" t="s">
        <v>130</v>
      </c>
      <c r="D50" s="1658" t="s">
        <v>131</v>
      </c>
      <c r="E50" s="1707">
        <f t="shared" ref="E50:J50" si="30">E49*$K$50</f>
        <v>0.58313576502065856</v>
      </c>
      <c r="F50" s="1707">
        <f t="shared" si="30"/>
        <v>0.43725749311003426</v>
      </c>
      <c r="G50" s="1707">
        <f t="shared" si="30"/>
        <v>0.48174697244946002</v>
      </c>
      <c r="H50" s="1707">
        <f t="shared" si="30"/>
        <v>9.0066349658662906E-2</v>
      </c>
      <c r="I50" s="1707">
        <f t="shared" si="30"/>
        <v>4.6787654560911211E-2</v>
      </c>
      <c r="J50" s="1707">
        <f t="shared" si="30"/>
        <v>0.10285113274798692</v>
      </c>
      <c r="K50" s="2119">
        <v>1.7418453703224948</v>
      </c>
      <c r="L50" s="25"/>
    </row>
    <row r="51" spans="2:12" s="26" customFormat="1" ht="18.75" hidden="1" x14ac:dyDescent="0.25">
      <c r="B51" s="579"/>
      <c r="C51" s="247"/>
      <c r="D51" s="2124"/>
      <c r="E51" s="247"/>
      <c r="F51" s="247"/>
      <c r="G51" s="247"/>
      <c r="H51" s="247"/>
      <c r="I51" s="247"/>
      <c r="J51" s="247"/>
      <c r="K51" s="580"/>
      <c r="L51" s="25"/>
    </row>
    <row r="52" spans="2:12" s="26" customFormat="1" ht="18.75" hidden="1" x14ac:dyDescent="0.25">
      <c r="B52" s="2634" t="s">
        <v>2297</v>
      </c>
      <c r="C52" s="2635"/>
      <c r="D52" s="2635"/>
      <c r="E52" s="2635"/>
      <c r="F52" s="2635"/>
      <c r="G52" s="2635"/>
      <c r="H52" s="2635"/>
      <c r="I52" s="2635"/>
      <c r="J52" s="2635"/>
      <c r="K52" s="2636"/>
    </row>
    <row r="53" spans="2:12" s="26" customFormat="1" ht="18.75" hidden="1" x14ac:dyDescent="0.25">
      <c r="B53" s="2637" t="s">
        <v>2298</v>
      </c>
      <c r="C53" s="2638"/>
      <c r="D53" s="2638"/>
      <c r="E53" s="2638"/>
      <c r="F53" s="2638"/>
      <c r="G53" s="2638"/>
      <c r="H53" s="2638"/>
      <c r="I53" s="2638"/>
      <c r="J53" s="2638"/>
      <c r="K53" s="2639"/>
    </row>
    <row r="54" spans="2:12" s="26" customFormat="1" ht="20.25" customHeight="1" x14ac:dyDescent="0.25">
      <c r="B54" s="2623" t="s">
        <v>2933</v>
      </c>
      <c r="C54" s="2624"/>
      <c r="D54" s="2624"/>
      <c r="E54" s="2624"/>
      <c r="F54" s="2624"/>
      <c r="G54" s="2624"/>
      <c r="H54" s="2624"/>
      <c r="I54" s="2624"/>
      <c r="J54" s="2624"/>
      <c r="K54" s="2625"/>
    </row>
    <row r="55" spans="2:12" s="26" customFormat="1" ht="32.25" customHeight="1" x14ac:dyDescent="0.25">
      <c r="B55" s="2623" t="s">
        <v>149</v>
      </c>
      <c r="C55" s="2624"/>
      <c r="D55" s="2624"/>
      <c r="E55" s="2624"/>
      <c r="F55" s="2624"/>
      <c r="G55" s="2624"/>
      <c r="H55" s="2624"/>
      <c r="I55" s="2624"/>
      <c r="J55" s="2624"/>
      <c r="K55" s="2625"/>
    </row>
    <row r="56" spans="2:12" s="26" customFormat="1" ht="15.75" customHeight="1" thickBot="1" x14ac:dyDescent="0.3">
      <c r="B56" s="2626" t="s">
        <v>2645</v>
      </c>
      <c r="C56" s="2627"/>
      <c r="D56" s="2627"/>
      <c r="E56" s="2627"/>
      <c r="F56" s="2627"/>
      <c r="G56" s="2627"/>
      <c r="H56" s="2627"/>
      <c r="I56" s="2627"/>
      <c r="J56" s="2627"/>
      <c r="K56" s="2628"/>
    </row>
    <row r="57" spans="2:12" s="26" customFormat="1" ht="8.25" customHeight="1" x14ac:dyDescent="0.25">
      <c r="B57" s="27"/>
      <c r="C57" s="2629"/>
      <c r="D57" s="2629"/>
      <c r="E57" s="2629"/>
      <c r="F57" s="2629"/>
      <c r="G57" s="2629"/>
      <c r="H57" s="2629"/>
      <c r="I57" s="2629"/>
      <c r="J57" s="2629"/>
      <c r="K57" s="27"/>
    </row>
    <row r="58" spans="2:12" s="26" customFormat="1" ht="15.75" hidden="1" customHeight="1" x14ac:dyDescent="0.25">
      <c r="B58" s="2630" t="s">
        <v>150</v>
      </c>
      <c r="C58" s="2630"/>
      <c r="D58" s="2630"/>
      <c r="E58" s="2630"/>
      <c r="F58" s="2630"/>
      <c r="G58" s="2630"/>
      <c r="H58" s="2630"/>
      <c r="I58" s="2630"/>
      <c r="J58" s="2630"/>
      <c r="K58" s="2630"/>
    </row>
    <row r="60" spans="2:12" ht="1.5" customHeight="1" x14ac:dyDescent="0.25"/>
    <row r="61" spans="2:12" x14ac:dyDescent="0.25"/>
    <row r="62" spans="2:12" x14ac:dyDescent="0.25"/>
    <row r="63" spans="2:12" x14ac:dyDescent="0.25"/>
    <row r="64" spans="2:12" x14ac:dyDescent="0.25"/>
  </sheetData>
  <mergeCells count="24">
    <mergeCell ref="B10:B12"/>
    <mergeCell ref="B1:K1"/>
    <mergeCell ref="B4:B6"/>
    <mergeCell ref="B7:B9"/>
    <mergeCell ref="B43:B45"/>
    <mergeCell ref="B13:B15"/>
    <mergeCell ref="B16:B18"/>
    <mergeCell ref="B19:B21"/>
    <mergeCell ref="B22:B24"/>
    <mergeCell ref="B25:B27"/>
    <mergeCell ref="B28:B30"/>
    <mergeCell ref="B31:B33"/>
    <mergeCell ref="B34:B36"/>
    <mergeCell ref="B37:B39"/>
    <mergeCell ref="B40:B42"/>
    <mergeCell ref="B55:K55"/>
    <mergeCell ref="B56:K56"/>
    <mergeCell ref="C57:J57"/>
    <mergeCell ref="B58:K58"/>
    <mergeCell ref="B46:B48"/>
    <mergeCell ref="B49:B50"/>
    <mergeCell ref="B52:K52"/>
    <mergeCell ref="B53:K53"/>
    <mergeCell ref="B54:K54"/>
  </mergeCells>
  <pageMargins left="0.70866141732283472" right="0.70866141732283472" top="0.74803149606299213" bottom="0.74803149606299213" header="0.31496062992125984" footer="0.31496062992125984"/>
  <pageSetup paperSize="9" scale="33"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F78C9E-14A8-446A-B68E-39FE3A20918B}">
  <sheetPr>
    <tabColor theme="0"/>
    <pageSetUpPr fitToPage="1"/>
  </sheetPr>
  <dimension ref="B1:K73"/>
  <sheetViews>
    <sheetView showGridLines="0" view="pageBreakPreview" topLeftCell="A41" zoomScaleNormal="100" zoomScaleSheetLayoutView="100" zoomScalePageLayoutView="70" workbookViewId="0">
      <selection activeCell="B81" sqref="B81"/>
    </sheetView>
  </sheetViews>
  <sheetFormatPr defaultColWidth="9.140625" defaultRowHeight="0" customHeight="1" zeroHeight="1" x14ac:dyDescent="0.25"/>
  <cols>
    <col min="1" max="1" width="2.28515625" style="22" customWidth="1"/>
    <col min="2" max="2" width="10.140625" style="29" customWidth="1"/>
    <col min="3" max="3" width="29.140625" style="22" customWidth="1"/>
    <col min="4" max="4" width="15.85546875" style="22" customWidth="1"/>
    <col min="5" max="5" width="18.7109375" style="22" customWidth="1"/>
    <col min="6" max="6" width="18.42578125" style="22" customWidth="1"/>
    <col min="7" max="7" width="18.85546875" style="22" customWidth="1"/>
    <col min="8" max="8" width="18.5703125" style="22" hidden="1" customWidth="1"/>
    <col min="9" max="9" width="5.7109375" style="22" customWidth="1"/>
    <col min="10" max="10" width="9.140625" style="22" customWidth="1"/>
    <col min="11" max="16384" width="9.140625" style="22"/>
  </cols>
  <sheetData>
    <row r="1" spans="2:9" ht="36" customHeight="1" x14ac:dyDescent="0.25">
      <c r="B1" s="2643" t="s">
        <v>2934</v>
      </c>
      <c r="C1" s="2644"/>
      <c r="D1" s="2644"/>
      <c r="E1" s="2644"/>
      <c r="F1" s="2644"/>
      <c r="G1" s="2644"/>
      <c r="H1" s="2645"/>
    </row>
    <row r="2" spans="2:9" ht="18.75" hidden="1" x14ac:dyDescent="0.25">
      <c r="B2" s="571"/>
      <c r="C2" s="572"/>
      <c r="D2" s="572"/>
      <c r="E2" s="572"/>
      <c r="F2" s="572"/>
      <c r="G2" s="572"/>
      <c r="H2" s="2126"/>
      <c r="I2" s="23"/>
    </row>
    <row r="3" spans="2:9" ht="35.25" customHeight="1" x14ac:dyDescent="0.25">
      <c r="B3" s="574" t="s">
        <v>3</v>
      </c>
      <c r="C3" s="575" t="s">
        <v>116</v>
      </c>
      <c r="D3" s="1661">
        <v>2015</v>
      </c>
      <c r="E3" s="541">
        <v>2020</v>
      </c>
      <c r="F3" s="541">
        <v>2024</v>
      </c>
      <c r="G3" s="1568">
        <v>2025</v>
      </c>
      <c r="H3" s="1568" t="s">
        <v>3001</v>
      </c>
    </row>
    <row r="4" spans="2:9" s="26" customFormat="1" ht="23.25" customHeight="1" x14ac:dyDescent="0.25">
      <c r="B4" s="2631">
        <v>1</v>
      </c>
      <c r="C4" s="2654" t="s">
        <v>125</v>
      </c>
      <c r="D4" s="2655"/>
      <c r="E4" s="2655"/>
      <c r="F4" s="2655"/>
      <c r="G4" s="2655"/>
      <c r="H4" s="2656"/>
      <c r="I4" s="25"/>
    </row>
    <row r="5" spans="2:9" s="26" customFormat="1" ht="23.25" customHeight="1" x14ac:dyDescent="0.25">
      <c r="B5" s="2632"/>
      <c r="C5" s="1597" t="s">
        <v>118</v>
      </c>
      <c r="D5" s="1524">
        <v>559.70000000000005</v>
      </c>
      <c r="E5" s="1524">
        <v>661.60366784354892</v>
      </c>
      <c r="F5" s="1678">
        <v>788.7733723864402</v>
      </c>
      <c r="G5" s="1678">
        <v>808.37458164832685</v>
      </c>
      <c r="H5" s="2121">
        <f>(G5-D5)/D5</f>
        <v>0.44429977067773235</v>
      </c>
      <c r="I5" s="25"/>
    </row>
    <row r="6" spans="2:9" s="26" customFormat="1" ht="23.25" customHeight="1" x14ac:dyDescent="0.25">
      <c r="B6" s="2632"/>
      <c r="C6" s="1597" t="s">
        <v>119</v>
      </c>
      <c r="D6" s="1524">
        <v>177.6</v>
      </c>
      <c r="E6" s="1524">
        <v>284.24761513429058</v>
      </c>
      <c r="F6" s="1678">
        <v>372.54370000700754</v>
      </c>
      <c r="G6" s="1678">
        <v>379.99455942915154</v>
      </c>
      <c r="H6" s="2121">
        <f t="shared" ref="H6:H11" si="0">(G6-D6)/D6</f>
        <v>1.1396090057947723</v>
      </c>
      <c r="I6" s="25"/>
    </row>
    <row r="7" spans="2:9" s="26" customFormat="1" ht="23.25" customHeight="1" x14ac:dyDescent="0.25">
      <c r="B7" s="2632"/>
      <c r="C7" s="1597" t="s">
        <v>120</v>
      </c>
      <c r="D7" s="1524">
        <v>1920.4</v>
      </c>
      <c r="E7" s="1524">
        <v>1964.9962304720002</v>
      </c>
      <c r="F7" s="1678">
        <v>2203.0410016810761</v>
      </c>
      <c r="G7" s="1678">
        <v>2203.0803622708586</v>
      </c>
      <c r="H7" s="2121">
        <f t="shared" si="0"/>
        <v>0.14719868895587299</v>
      </c>
      <c r="I7" s="25"/>
    </row>
    <row r="8" spans="2:9" s="26" customFormat="1" ht="23.25" customHeight="1" x14ac:dyDescent="0.25">
      <c r="B8" s="2632"/>
      <c r="C8" s="1597" t="s">
        <v>121</v>
      </c>
      <c r="D8" s="1524">
        <v>38.6</v>
      </c>
      <c r="E8" s="1524">
        <v>77.683526262324932</v>
      </c>
      <c r="F8" s="1678">
        <v>117.47309400709091</v>
      </c>
      <c r="G8" s="1678">
        <v>126.43111767785456</v>
      </c>
      <c r="H8" s="2121">
        <f t="shared" si="0"/>
        <v>2.2754175564211025</v>
      </c>
      <c r="I8" s="25"/>
    </row>
    <row r="9" spans="2:9" s="26" customFormat="1" ht="23.25" customHeight="1" x14ac:dyDescent="0.25">
      <c r="B9" s="2632"/>
      <c r="C9" s="1597" t="s">
        <v>122</v>
      </c>
      <c r="D9" s="1524">
        <v>254.9</v>
      </c>
      <c r="E9" s="1524">
        <v>280.44328057957983</v>
      </c>
      <c r="F9" s="1678">
        <v>117.26655686891672</v>
      </c>
      <c r="G9" s="1678">
        <v>119.7039759692488</v>
      </c>
      <c r="H9" s="2121">
        <f t="shared" si="0"/>
        <v>-0.53038848187819221</v>
      </c>
      <c r="I9" s="25"/>
    </row>
    <row r="10" spans="2:9" s="26" customFormat="1" ht="23.25" customHeight="1" x14ac:dyDescent="0.25">
      <c r="B10" s="2632"/>
      <c r="C10" s="1597" t="s">
        <v>123</v>
      </c>
      <c r="D10" s="1524">
        <v>62.7</v>
      </c>
      <c r="E10" s="1524">
        <v>186.09345614296575</v>
      </c>
      <c r="F10" s="1678">
        <v>193.34057163541289</v>
      </c>
      <c r="G10" s="1678">
        <v>236.33724642631779</v>
      </c>
      <c r="H10" s="2121">
        <f t="shared" si="0"/>
        <v>2.769334073784973</v>
      </c>
      <c r="I10" s="25"/>
    </row>
    <row r="11" spans="2:9" s="26" customFormat="1" ht="23.25" customHeight="1" x14ac:dyDescent="0.25">
      <c r="B11" s="2633"/>
      <c r="C11" s="1597" t="s">
        <v>124</v>
      </c>
      <c r="D11" s="1269">
        <v>3014</v>
      </c>
      <c r="E11" s="1269">
        <f>SUM(E5:E10)</f>
        <v>3455.0677764347101</v>
      </c>
      <c r="F11" s="1679">
        <v>3792.4776742764493</v>
      </c>
      <c r="G11" s="1679">
        <v>3873.9218434217587</v>
      </c>
      <c r="H11" s="2123">
        <f t="shared" si="0"/>
        <v>0.28530917167277992</v>
      </c>
      <c r="I11" s="25"/>
    </row>
    <row r="12" spans="2:9" s="26" customFormat="1" ht="23.25" customHeight="1" x14ac:dyDescent="0.25">
      <c r="B12" s="2631">
        <v>2</v>
      </c>
      <c r="C12" s="2657" t="s">
        <v>128</v>
      </c>
      <c r="D12" s="2657"/>
      <c r="E12" s="2657"/>
      <c r="F12" s="2657"/>
      <c r="G12" s="2657"/>
      <c r="H12" s="2658"/>
      <c r="I12" s="25"/>
    </row>
    <row r="13" spans="2:9" s="26" customFormat="1" ht="23.25" customHeight="1" x14ac:dyDescent="0.25">
      <c r="B13" s="2632"/>
      <c r="C13" s="1597" t="s">
        <v>118</v>
      </c>
      <c r="D13" s="1524">
        <v>851.6</v>
      </c>
      <c r="E13" s="1524">
        <v>755.41616968752919</v>
      </c>
      <c r="F13" s="1678">
        <v>861.41461640510931</v>
      </c>
      <c r="G13" s="1678">
        <v>869.97244685865394</v>
      </c>
      <c r="H13" s="2121">
        <f>(G13-D13)/D13</f>
        <v>2.1574033417865096E-2</v>
      </c>
      <c r="I13" s="25"/>
    </row>
    <row r="14" spans="2:9" s="26" customFormat="1" ht="23.25" customHeight="1" x14ac:dyDescent="0.25">
      <c r="B14" s="2632"/>
      <c r="C14" s="1597" t="s">
        <v>119</v>
      </c>
      <c r="D14" s="1524">
        <v>713.6</v>
      </c>
      <c r="E14" s="1524">
        <v>715.40794980928354</v>
      </c>
      <c r="F14" s="1678">
        <v>775.17437972898858</v>
      </c>
      <c r="G14" s="1678">
        <v>785.4199776944198</v>
      </c>
      <c r="H14" s="2121">
        <f t="shared" ref="H14:H19" si="1">(G14-D14)/D14</f>
        <v>0.10064458757626089</v>
      </c>
      <c r="I14" s="25"/>
    </row>
    <row r="15" spans="2:9" s="26" customFormat="1" ht="23.25" customHeight="1" x14ac:dyDescent="0.25">
      <c r="B15" s="2632"/>
      <c r="C15" s="1597" t="s">
        <v>120</v>
      </c>
      <c r="D15" s="1524">
        <v>396.3</v>
      </c>
      <c r="E15" s="1524">
        <v>219.80454874820529</v>
      </c>
      <c r="F15" s="1678">
        <v>189.41518488130185</v>
      </c>
      <c r="G15" s="1678">
        <v>208.51454662345884</v>
      </c>
      <c r="H15" s="2121">
        <f t="shared" si="1"/>
        <v>-0.47384671556028557</v>
      </c>
      <c r="I15" s="25"/>
    </row>
    <row r="16" spans="2:9" s="26" customFormat="1" ht="23.25" customHeight="1" x14ac:dyDescent="0.25">
      <c r="B16" s="2632"/>
      <c r="C16" s="1597" t="s">
        <v>121</v>
      </c>
      <c r="D16" s="1524">
        <v>189.9</v>
      </c>
      <c r="E16" s="1524">
        <v>176.38812474169498</v>
      </c>
      <c r="F16" s="1678">
        <v>214.44438181099622</v>
      </c>
      <c r="G16" s="1678">
        <v>215.2439989039797</v>
      </c>
      <c r="H16" s="2121">
        <f t="shared" si="1"/>
        <v>0.13345970986824485</v>
      </c>
      <c r="I16" s="25"/>
    </row>
    <row r="17" spans="2:11" s="26" customFormat="1" ht="23.25" customHeight="1" x14ac:dyDescent="0.25">
      <c r="B17" s="2632"/>
      <c r="C17" s="1597" t="s">
        <v>122</v>
      </c>
      <c r="D17" s="1524">
        <v>57.4</v>
      </c>
      <c r="E17" s="1524">
        <v>61.238122087308511</v>
      </c>
      <c r="F17" s="1678">
        <v>20.588011275480323</v>
      </c>
      <c r="G17" s="1678">
        <v>20.992627677743045</v>
      </c>
      <c r="H17" s="2121">
        <f t="shared" si="1"/>
        <v>-0.63427477913339647</v>
      </c>
      <c r="I17" s="25"/>
    </row>
    <row r="18" spans="2:11" s="26" customFormat="1" ht="23.25" customHeight="1" x14ac:dyDescent="0.25">
      <c r="B18" s="2632"/>
      <c r="C18" s="1597" t="s">
        <v>123</v>
      </c>
      <c r="D18" s="1524">
        <v>71.7</v>
      </c>
      <c r="E18" s="1524">
        <v>146.88730944677334</v>
      </c>
      <c r="F18" s="1678">
        <v>137.4075436398482</v>
      </c>
      <c r="G18" s="1678">
        <v>140.9147250817191</v>
      </c>
      <c r="H18" s="2121">
        <f t="shared" si="1"/>
        <v>0.96533786724852289</v>
      </c>
      <c r="I18" s="25"/>
    </row>
    <row r="19" spans="2:11" s="26" customFormat="1" ht="23.25" customHeight="1" x14ac:dyDescent="0.25">
      <c r="B19" s="2632"/>
      <c r="C19" s="1597" t="s">
        <v>124</v>
      </c>
      <c r="D19" s="1269">
        <v>2280.6</v>
      </c>
      <c r="E19" s="1269">
        <f>SUM(E13:E18)</f>
        <v>2075.142224520795</v>
      </c>
      <c r="F19" s="1679">
        <v>2198.4440896977071</v>
      </c>
      <c r="G19" s="1679">
        <v>2241.0583621503324</v>
      </c>
      <c r="H19" s="2123">
        <f t="shared" si="1"/>
        <v>-1.7338260918033629E-2</v>
      </c>
      <c r="I19" s="25"/>
    </row>
    <row r="20" spans="2:11" s="26" customFormat="1" ht="23.25" customHeight="1" x14ac:dyDescent="0.25">
      <c r="B20" s="2631">
        <v>3</v>
      </c>
      <c r="C20" s="2657" t="s">
        <v>132</v>
      </c>
      <c r="D20" s="2657"/>
      <c r="E20" s="2657"/>
      <c r="F20" s="2657"/>
      <c r="G20" s="2657"/>
      <c r="H20" s="2658"/>
      <c r="I20" s="25"/>
    </row>
    <row r="21" spans="2:11" s="26" customFormat="1" ht="23.25" customHeight="1" x14ac:dyDescent="0.25">
      <c r="B21" s="2632"/>
      <c r="C21" s="1597" t="s">
        <v>118</v>
      </c>
      <c r="D21" s="1524">
        <v>195.5</v>
      </c>
      <c r="E21" s="1524">
        <v>209.42580617845138</v>
      </c>
      <c r="F21" s="1678">
        <v>260.15133535387321</v>
      </c>
      <c r="G21" s="1678">
        <v>260.15238314735126</v>
      </c>
      <c r="H21" s="2121">
        <f>(G21-D21)/D21</f>
        <v>0.3307027270964259</v>
      </c>
      <c r="I21" s="25"/>
    </row>
    <row r="22" spans="2:11" s="26" customFormat="1" ht="23.25" customHeight="1" x14ac:dyDescent="0.25">
      <c r="B22" s="2632"/>
      <c r="C22" s="1597" t="s">
        <v>119</v>
      </c>
      <c r="D22" s="1524">
        <v>45.5</v>
      </c>
      <c r="E22" s="1524">
        <v>51.247492435517906</v>
      </c>
      <c r="F22" s="1678">
        <v>60.972070555584423</v>
      </c>
      <c r="G22" s="1678">
        <v>57.239129759743449</v>
      </c>
      <c r="H22" s="2121">
        <f t="shared" ref="H22:H27" si="2">(G22-D22)/D22</f>
        <v>0.25800285186249339</v>
      </c>
      <c r="I22" s="25"/>
      <c r="J22" s="2183">
        <f>F22/F27</f>
        <v>6.5761235165873122E-2</v>
      </c>
      <c r="K22" s="2183">
        <f>G22/G27</f>
        <v>6.1292383175452055E-2</v>
      </c>
    </row>
    <row r="23" spans="2:11" s="26" customFormat="1" ht="23.25" customHeight="1" x14ac:dyDescent="0.25">
      <c r="B23" s="2632"/>
      <c r="C23" s="1597" t="s">
        <v>120</v>
      </c>
      <c r="D23" s="1524">
        <v>407.2</v>
      </c>
      <c r="E23" s="1524">
        <v>418.85694243952275</v>
      </c>
      <c r="F23" s="1678">
        <v>549.24249878924934</v>
      </c>
      <c r="G23" s="1678">
        <v>551.04306354685593</v>
      </c>
      <c r="H23" s="2121">
        <f t="shared" si="2"/>
        <v>0.35324917373982306</v>
      </c>
      <c r="I23" s="25"/>
    </row>
    <row r="24" spans="2:11" s="26" customFormat="1" ht="23.25" customHeight="1" x14ac:dyDescent="0.25">
      <c r="B24" s="2632"/>
      <c r="C24" s="1597" t="s">
        <v>121</v>
      </c>
      <c r="D24" s="1524">
        <v>8.6</v>
      </c>
      <c r="E24" s="1524">
        <v>9.4639705975826836</v>
      </c>
      <c r="F24" s="1678">
        <v>14.253643524341893</v>
      </c>
      <c r="G24" s="1678">
        <v>14.022110661228437</v>
      </c>
      <c r="H24" s="2121">
        <f t="shared" si="2"/>
        <v>0.63047798386377185</v>
      </c>
      <c r="I24" s="25"/>
    </row>
    <row r="25" spans="2:11" s="26" customFormat="1" ht="23.25" customHeight="1" x14ac:dyDescent="0.25">
      <c r="B25" s="2632"/>
      <c r="C25" s="1597" t="s">
        <v>122</v>
      </c>
      <c r="D25" s="1524">
        <v>28.1</v>
      </c>
      <c r="E25" s="1524">
        <v>34.713655039916389</v>
      </c>
      <c r="F25" s="1678">
        <v>13.46992802582734</v>
      </c>
      <c r="G25" s="1678">
        <v>15.322593277180427</v>
      </c>
      <c r="H25" s="2121">
        <f t="shared" si="2"/>
        <v>-0.45471198301849014</v>
      </c>
      <c r="I25" s="25"/>
    </row>
    <row r="26" spans="2:11" s="26" customFormat="1" ht="23.25" customHeight="1" x14ac:dyDescent="0.25">
      <c r="B26" s="2632"/>
      <c r="C26" s="1597" t="s">
        <v>123</v>
      </c>
      <c r="D26" s="1524">
        <v>15.5</v>
      </c>
      <c r="E26" s="1524">
        <v>34.168846589584398</v>
      </c>
      <c r="F26" s="1678">
        <v>29.083950608652856</v>
      </c>
      <c r="G26" s="1678">
        <v>36.090913170975085</v>
      </c>
      <c r="H26" s="2121">
        <f t="shared" si="2"/>
        <v>1.3284460110306506</v>
      </c>
      <c r="I26" s="25"/>
    </row>
    <row r="27" spans="2:11" s="26" customFormat="1" ht="23.25" customHeight="1" x14ac:dyDescent="0.25">
      <c r="B27" s="2632"/>
      <c r="C27" s="1597" t="s">
        <v>124</v>
      </c>
      <c r="D27" s="1269">
        <v>700.5</v>
      </c>
      <c r="E27" s="1269">
        <f>SUM(E21:E26)</f>
        <v>757.87671328057559</v>
      </c>
      <c r="F27" s="1679">
        <v>927.17343890806296</v>
      </c>
      <c r="G27" s="1679">
        <v>933.87019388516853</v>
      </c>
      <c r="H27" s="2123">
        <f t="shared" si="2"/>
        <v>0.33314802838710711</v>
      </c>
      <c r="I27" s="25"/>
    </row>
    <row r="28" spans="2:11" s="26" customFormat="1" ht="33.75" customHeight="1" x14ac:dyDescent="0.25">
      <c r="B28" s="2631">
        <v>4</v>
      </c>
      <c r="C28" s="2657" t="s">
        <v>134</v>
      </c>
      <c r="D28" s="2657"/>
      <c r="E28" s="2657"/>
      <c r="F28" s="2657"/>
      <c r="G28" s="2657"/>
      <c r="H28" s="2658"/>
      <c r="I28" s="25"/>
    </row>
    <row r="29" spans="2:11" s="26" customFormat="1" ht="24" customHeight="1" x14ac:dyDescent="0.25">
      <c r="B29" s="2632"/>
      <c r="C29" s="1597" t="s">
        <v>118</v>
      </c>
      <c r="D29" s="1524">
        <v>143</v>
      </c>
      <c r="E29" s="1524">
        <v>148.30713007332292</v>
      </c>
      <c r="F29" s="1678">
        <v>171.65006285373829</v>
      </c>
      <c r="G29" s="1678">
        <v>171.41591517858123</v>
      </c>
      <c r="H29" s="2121">
        <f>(G29-D29)/D29</f>
        <v>0.19871269355651211</v>
      </c>
      <c r="I29" s="25"/>
    </row>
    <row r="30" spans="2:11" s="26" customFormat="1" ht="24.75" customHeight="1" x14ac:dyDescent="0.25">
      <c r="B30" s="2632"/>
      <c r="C30" s="1597" t="s">
        <v>119</v>
      </c>
      <c r="D30" s="1524">
        <v>352.3</v>
      </c>
      <c r="E30" s="1524">
        <v>353.73103571574114</v>
      </c>
      <c r="F30" s="1678">
        <v>412.36459002023696</v>
      </c>
      <c r="G30" s="1678">
        <v>412.7599270551147</v>
      </c>
      <c r="H30" s="2121">
        <f t="shared" ref="H30:H35" si="3">(G30-D30)/D30</f>
        <v>0.17161489371307037</v>
      </c>
      <c r="I30" s="25"/>
    </row>
    <row r="31" spans="2:11" s="26" customFormat="1" ht="22.5" customHeight="1" x14ac:dyDescent="0.25">
      <c r="B31" s="2632"/>
      <c r="C31" s="1597" t="s">
        <v>120</v>
      </c>
      <c r="D31" s="1524">
        <v>88.7</v>
      </c>
      <c r="E31" s="1524">
        <v>78.19674942617624</v>
      </c>
      <c r="F31" s="1678">
        <v>89.542454629081959</v>
      </c>
      <c r="G31" s="1678">
        <v>84.979359588577509</v>
      </c>
      <c r="H31" s="2121">
        <f t="shared" si="3"/>
        <v>-4.1946340602282903E-2</v>
      </c>
      <c r="I31" s="25"/>
    </row>
    <row r="32" spans="2:11" s="26" customFormat="1" ht="24" customHeight="1" x14ac:dyDescent="0.25">
      <c r="B32" s="2632"/>
      <c r="C32" s="1597" t="s">
        <v>121</v>
      </c>
      <c r="D32" s="1524">
        <v>44.2</v>
      </c>
      <c r="E32" s="1524">
        <v>45.802792574524787</v>
      </c>
      <c r="F32" s="1678">
        <v>56.206503560369384</v>
      </c>
      <c r="G32" s="1678">
        <v>56.96447847354591</v>
      </c>
      <c r="H32" s="2121">
        <f t="shared" si="3"/>
        <v>0.28878910573633271</v>
      </c>
      <c r="I32" s="25"/>
    </row>
    <row r="33" spans="2:9" s="26" customFormat="1" ht="23.25" customHeight="1" x14ac:dyDescent="0.25">
      <c r="B33" s="2632"/>
      <c r="C33" s="1597" t="s">
        <v>122</v>
      </c>
      <c r="D33" s="1524">
        <v>38.5</v>
      </c>
      <c r="E33" s="1524">
        <v>45.065412142730402</v>
      </c>
      <c r="F33" s="1678">
        <v>18.102943865693259</v>
      </c>
      <c r="G33" s="1678">
        <v>17.192777682866001</v>
      </c>
      <c r="H33" s="2121">
        <f t="shared" si="3"/>
        <v>-0.5534343458995844</v>
      </c>
      <c r="I33" s="25"/>
    </row>
    <row r="34" spans="2:9" s="26" customFormat="1" ht="23.25" customHeight="1" x14ac:dyDescent="0.25">
      <c r="B34" s="2632"/>
      <c r="C34" s="1597" t="s">
        <v>123</v>
      </c>
      <c r="D34" s="1524">
        <v>0.1</v>
      </c>
      <c r="E34" s="1524">
        <v>0.90032457617039363</v>
      </c>
      <c r="F34" s="1678">
        <v>1.6362995886828544</v>
      </c>
      <c r="G34" s="1678">
        <v>1.6559541371781499</v>
      </c>
      <c r="H34" s="2121">
        <f t="shared" si="3"/>
        <v>15.559541371781497</v>
      </c>
      <c r="I34" s="25"/>
    </row>
    <row r="35" spans="2:9" s="26" customFormat="1" ht="23.25" customHeight="1" x14ac:dyDescent="0.25">
      <c r="B35" s="2632"/>
      <c r="C35" s="1597" t="s">
        <v>124</v>
      </c>
      <c r="D35" s="1269">
        <v>666.80000000000007</v>
      </c>
      <c r="E35" s="1269">
        <f>SUM(E29:E34)</f>
        <v>672.00344450866601</v>
      </c>
      <c r="F35" s="1679">
        <v>749.50283740520047</v>
      </c>
      <c r="G35" s="1679">
        <v>744.96842314850369</v>
      </c>
      <c r="H35" s="2121">
        <f t="shared" si="3"/>
        <v>0.11722918888497842</v>
      </c>
      <c r="I35" s="25"/>
    </row>
    <row r="36" spans="2:9" s="26" customFormat="1" ht="23.25" customHeight="1" x14ac:dyDescent="0.25">
      <c r="B36" s="2662">
        <v>5</v>
      </c>
      <c r="C36" s="2659" t="s">
        <v>135</v>
      </c>
      <c r="D36" s="2660"/>
      <c r="E36" s="2660"/>
      <c r="F36" s="2660"/>
      <c r="G36" s="2660"/>
      <c r="H36" s="2661"/>
      <c r="I36" s="25"/>
    </row>
    <row r="37" spans="2:9" s="26" customFormat="1" ht="23.25" customHeight="1" x14ac:dyDescent="0.25">
      <c r="B37" s="2662"/>
      <c r="C37" s="2125" t="s">
        <v>118</v>
      </c>
      <c r="D37" s="1524">
        <v>189.6</v>
      </c>
      <c r="E37" s="1524">
        <v>150.75993133491693</v>
      </c>
      <c r="F37" s="1678">
        <v>157.92231687814615</v>
      </c>
      <c r="G37" s="1678">
        <v>155.47139126436136</v>
      </c>
      <c r="H37" s="2121">
        <f>(G37-D37)/D37</f>
        <v>-0.18000321063100547</v>
      </c>
      <c r="I37" s="25"/>
    </row>
    <row r="38" spans="2:9" s="26" customFormat="1" ht="23.25" customHeight="1" x14ac:dyDescent="0.25">
      <c r="B38" s="2662"/>
      <c r="C38" s="2125" t="s">
        <v>119</v>
      </c>
      <c r="D38" s="1524">
        <v>102.1</v>
      </c>
      <c r="E38" s="1524">
        <v>89.783956631975471</v>
      </c>
      <c r="F38" s="1678">
        <v>78.197624498209947</v>
      </c>
      <c r="G38" s="1678">
        <v>77.729727764979827</v>
      </c>
      <c r="H38" s="2121">
        <f t="shared" ref="H38:H43" si="4">(G38-D38)/D38</f>
        <v>-0.23869022757120634</v>
      </c>
      <c r="I38" s="25"/>
    </row>
    <row r="39" spans="2:9" s="26" customFormat="1" ht="23.25" customHeight="1" x14ac:dyDescent="0.25">
      <c r="B39" s="2662"/>
      <c r="C39" s="2125" t="s">
        <v>120</v>
      </c>
      <c r="D39" s="1524">
        <v>119.4</v>
      </c>
      <c r="E39" s="1524">
        <v>109.25740818150003</v>
      </c>
      <c r="F39" s="1678">
        <v>108.21599651849269</v>
      </c>
      <c r="G39" s="1678">
        <v>104.0969950767722</v>
      </c>
      <c r="H39" s="2121">
        <f t="shared" si="4"/>
        <v>-0.12816587037879232</v>
      </c>
      <c r="I39" s="25"/>
    </row>
    <row r="40" spans="2:9" s="26" customFormat="1" ht="23.25" customHeight="1" x14ac:dyDescent="0.25">
      <c r="B40" s="2662"/>
      <c r="C40" s="2125" t="s">
        <v>121</v>
      </c>
      <c r="D40" s="1524">
        <v>1</v>
      </c>
      <c r="E40" s="1524">
        <v>9.1216643985501573</v>
      </c>
      <c r="F40" s="1678">
        <v>22.122931365079705</v>
      </c>
      <c r="G40" s="1678">
        <v>24.509425047523909</v>
      </c>
      <c r="H40" s="2121">
        <f t="shared" si="4"/>
        <v>23.509425047523909</v>
      </c>
      <c r="I40" s="25"/>
    </row>
    <row r="41" spans="2:9" s="26" customFormat="1" ht="23.25" customHeight="1" x14ac:dyDescent="0.25">
      <c r="B41" s="2662"/>
      <c r="C41" s="2125" t="s">
        <v>122</v>
      </c>
      <c r="D41" s="1524">
        <v>21.9</v>
      </c>
      <c r="E41" s="1524">
        <v>16.448556823076856</v>
      </c>
      <c r="F41" s="1678">
        <v>6.8341823258423178</v>
      </c>
      <c r="G41" s="1678">
        <v>6.384597008996689</v>
      </c>
      <c r="H41" s="2121">
        <f t="shared" si="4"/>
        <v>-0.70846589000015114</v>
      </c>
      <c r="I41" s="25"/>
    </row>
    <row r="42" spans="2:9" s="26" customFormat="1" ht="23.25" customHeight="1" x14ac:dyDescent="0.25">
      <c r="B42" s="2662"/>
      <c r="C42" s="2125" t="s">
        <v>123</v>
      </c>
      <c r="D42" s="1524">
        <v>14.5</v>
      </c>
      <c r="E42" s="1524">
        <v>27.035997049927516</v>
      </c>
      <c r="F42" s="1678">
        <v>23.374634458135947</v>
      </c>
      <c r="G42" s="1678">
        <v>25.486778902253356</v>
      </c>
      <c r="H42" s="2121">
        <f t="shared" si="4"/>
        <v>0.75770888981057627</v>
      </c>
      <c r="I42" s="25"/>
    </row>
    <row r="43" spans="2:9" s="26" customFormat="1" ht="23.25" customHeight="1" x14ac:dyDescent="0.25">
      <c r="B43" s="2662"/>
      <c r="C43" s="2125" t="s">
        <v>124</v>
      </c>
      <c r="D43" s="1269">
        <v>448.5</v>
      </c>
      <c r="E43" s="1269">
        <f>SUM(E37:E42)</f>
        <v>402.40751441994689</v>
      </c>
      <c r="F43" s="1679">
        <v>396.66768044642032</v>
      </c>
      <c r="G43" s="1679">
        <v>393.67891221096562</v>
      </c>
      <c r="H43" s="2121">
        <f t="shared" si="4"/>
        <v>-0.12223207979717811</v>
      </c>
      <c r="I43" s="25"/>
    </row>
    <row r="44" spans="2:9" s="26" customFormat="1" ht="23.25" customHeight="1" x14ac:dyDescent="0.25">
      <c r="B44" s="2653"/>
      <c r="C44" s="2657" t="s">
        <v>2975</v>
      </c>
      <c r="D44" s="2657"/>
      <c r="E44" s="2657"/>
      <c r="F44" s="2657"/>
      <c r="G44" s="2657"/>
      <c r="H44" s="2658"/>
      <c r="I44" s="25"/>
    </row>
    <row r="45" spans="2:9" s="26" customFormat="1" ht="23.25" customHeight="1" x14ac:dyDescent="0.25">
      <c r="B45" s="2653"/>
      <c r="C45" s="2125" t="s">
        <v>118</v>
      </c>
      <c r="D45" s="617">
        <v>4331.3</v>
      </c>
      <c r="E45" s="617">
        <v>4033.1826556728247</v>
      </c>
      <c r="F45" s="617">
        <v>4753.9993296312859</v>
      </c>
      <c r="G45" s="617">
        <v>4800.1580545168936</v>
      </c>
      <c r="H45" s="2121">
        <f>(G45-D45)/D45</f>
        <v>0.10824880625144723</v>
      </c>
      <c r="I45" s="25"/>
    </row>
    <row r="46" spans="2:9" s="26" customFormat="1" ht="23.25" customHeight="1" x14ac:dyDescent="0.25">
      <c r="B46" s="2653"/>
      <c r="C46" s="2125" t="s">
        <v>119</v>
      </c>
      <c r="D46" s="617">
        <v>3135.2</v>
      </c>
      <c r="E46" s="617">
        <v>3286.9968477073235</v>
      </c>
      <c r="F46" s="617">
        <v>3552.2348658147339</v>
      </c>
      <c r="G46" s="617">
        <v>3599.3420458023847</v>
      </c>
      <c r="H46" s="2121">
        <f t="shared" ref="H46:H51" si="5">(G46-D46)/D46</f>
        <v>0.14804224476983444</v>
      </c>
      <c r="I46" s="25"/>
    </row>
    <row r="47" spans="2:9" s="26" customFormat="1" ht="23.25" customHeight="1" x14ac:dyDescent="0.25">
      <c r="B47" s="2653"/>
      <c r="C47" s="2125" t="s">
        <v>120</v>
      </c>
      <c r="D47" s="617">
        <v>3839.9</v>
      </c>
      <c r="E47" s="617">
        <v>3616.716081919576</v>
      </c>
      <c r="F47" s="617">
        <v>3949.3433140370107</v>
      </c>
      <c r="G47" s="617">
        <v>3965.5629936546261</v>
      </c>
      <c r="H47" s="2121">
        <f t="shared" si="5"/>
        <v>3.2725590159802601E-2</v>
      </c>
      <c r="I47" s="25"/>
    </row>
    <row r="48" spans="2:9" s="26" customFormat="1" ht="23.25" customHeight="1" x14ac:dyDescent="0.25">
      <c r="B48" s="2653"/>
      <c r="C48" s="2125" t="s">
        <v>121</v>
      </c>
      <c r="D48" s="617">
        <v>583.1</v>
      </c>
      <c r="E48" s="617">
        <v>572.78395263773712</v>
      </c>
      <c r="F48" s="617">
        <v>733.55156593510912</v>
      </c>
      <c r="G48" s="617">
        <v>741.39289628316567</v>
      </c>
      <c r="H48" s="2121">
        <f t="shared" si="5"/>
        <v>0.27146783790630363</v>
      </c>
      <c r="I48" s="25"/>
    </row>
    <row r="49" spans="2:9" s="26" customFormat="1" ht="23.25" customHeight="1" x14ac:dyDescent="0.25">
      <c r="B49" s="2653"/>
      <c r="C49" s="2125" t="s">
        <v>122</v>
      </c>
      <c r="D49" s="617">
        <v>892.9</v>
      </c>
      <c r="E49" s="617">
        <v>911.49845580946226</v>
      </c>
      <c r="F49" s="617">
        <v>384.62031921640568</v>
      </c>
      <c r="G49" s="617">
        <v>385.1386767274609</v>
      </c>
      <c r="H49" s="2121">
        <f t="shared" si="5"/>
        <v>-0.56866538612670969</v>
      </c>
      <c r="I49" s="25"/>
    </row>
    <row r="50" spans="2:9" s="26" customFormat="1" ht="23.25" customHeight="1" x14ac:dyDescent="0.25">
      <c r="B50" s="2653"/>
      <c r="C50" s="2125" t="s">
        <v>123</v>
      </c>
      <c r="D50" s="617">
        <v>364.9</v>
      </c>
      <c r="E50" s="617">
        <v>757.418187949669</v>
      </c>
      <c r="F50" s="617">
        <v>770.15564172104314</v>
      </c>
      <c r="G50" s="617">
        <v>846.63250462599467</v>
      </c>
      <c r="H50" s="2121">
        <f t="shared" si="5"/>
        <v>1.320176773433803</v>
      </c>
      <c r="I50" s="25"/>
    </row>
    <row r="51" spans="2:9" s="26" customFormat="1" ht="23.25" customHeight="1" x14ac:dyDescent="0.25">
      <c r="B51" s="2653"/>
      <c r="C51" s="2125" t="s">
        <v>124</v>
      </c>
      <c r="D51" s="614">
        <v>13147.3</v>
      </c>
      <c r="E51" s="614">
        <f>SUM(E45:E50)</f>
        <v>13178.596181696592</v>
      </c>
      <c r="F51" s="614">
        <v>14143.944405680635</v>
      </c>
      <c r="G51" s="1679">
        <v>14338.227194451496</v>
      </c>
      <c r="H51" s="2123">
        <f t="shared" si="5"/>
        <v>9.0583404535645853E-2</v>
      </c>
      <c r="I51" s="25"/>
    </row>
    <row r="52" spans="2:9" s="26" customFormat="1" ht="18.75" hidden="1" x14ac:dyDescent="0.25">
      <c r="B52" s="579"/>
      <c r="C52" s="247"/>
      <c r="D52" s="247"/>
      <c r="E52" s="247"/>
      <c r="F52" s="247"/>
      <c r="G52" s="247"/>
      <c r="H52" s="2127"/>
      <c r="I52" s="25"/>
    </row>
    <row r="53" spans="2:9" s="26" customFormat="1" ht="18.75" hidden="1" x14ac:dyDescent="0.25">
      <c r="B53" s="2634" t="s">
        <v>2297</v>
      </c>
      <c r="C53" s="2635"/>
      <c r="D53" s="2635"/>
      <c r="E53" s="2635"/>
      <c r="F53" s="2635"/>
      <c r="G53" s="2635"/>
      <c r="H53" s="2636"/>
    </row>
    <row r="54" spans="2:9" s="26" customFormat="1" ht="18.75" hidden="1" x14ac:dyDescent="0.25">
      <c r="B54" s="2637" t="s">
        <v>2298</v>
      </c>
      <c r="C54" s="2638"/>
      <c r="D54" s="2638"/>
      <c r="E54" s="2638"/>
      <c r="F54" s="2638"/>
      <c r="G54" s="2638"/>
      <c r="H54" s="2639"/>
    </row>
    <row r="55" spans="2:9" s="26" customFormat="1" ht="31.5" customHeight="1" x14ac:dyDescent="0.25">
      <c r="B55" s="2647" t="s">
        <v>3009</v>
      </c>
      <c r="C55" s="2648"/>
      <c r="D55" s="2648"/>
      <c r="E55" s="2648"/>
      <c r="F55" s="2648"/>
      <c r="G55" s="2648"/>
      <c r="H55" s="2649"/>
    </row>
    <row r="56" spans="2:9" s="26" customFormat="1" ht="28.5" customHeight="1" x14ac:dyDescent="0.25">
      <c r="B56" s="2647" t="s">
        <v>149</v>
      </c>
      <c r="C56" s="2648"/>
      <c r="D56" s="2648"/>
      <c r="E56" s="2648"/>
      <c r="F56" s="2648"/>
      <c r="G56" s="2648"/>
      <c r="H56" s="2649"/>
    </row>
    <row r="57" spans="2:9" s="26" customFormat="1" ht="15.75" customHeight="1" thickBot="1" x14ac:dyDescent="0.3">
      <c r="B57" s="2650" t="s">
        <v>3010</v>
      </c>
      <c r="C57" s="2651"/>
      <c r="D57" s="2651"/>
      <c r="E57" s="2651"/>
      <c r="F57" s="2651"/>
      <c r="G57" s="2651"/>
      <c r="H57" s="2652"/>
    </row>
    <row r="58" spans="2:9" s="26" customFormat="1" ht="8.25" customHeight="1" x14ac:dyDescent="0.25">
      <c r="B58" s="27"/>
      <c r="C58" s="2629"/>
      <c r="D58" s="2629"/>
      <c r="E58" s="2629"/>
      <c r="F58" s="2629"/>
      <c r="G58" s="2629"/>
      <c r="H58" s="2629"/>
    </row>
    <row r="59" spans="2:9" s="26" customFormat="1" ht="15.75" hidden="1" customHeight="1" x14ac:dyDescent="0.25">
      <c r="B59" s="2630" t="s">
        <v>150</v>
      </c>
      <c r="C59" s="2630"/>
      <c r="D59" s="2630"/>
      <c r="E59" s="2630"/>
      <c r="F59" s="2630"/>
      <c r="G59" s="2630"/>
      <c r="H59" s="2630"/>
    </row>
    <row r="60" spans="2:9" ht="14.25" customHeight="1" x14ac:dyDescent="0.25"/>
    <row r="61" spans="2:9" ht="1.5" customHeight="1" x14ac:dyDescent="0.25"/>
    <row r="62" spans="2:9" ht="14.25" customHeight="1" x14ac:dyDescent="0.25"/>
    <row r="63" spans="2:9" ht="14.25" customHeight="1" x14ac:dyDescent="0.25"/>
    <row r="64" spans="2:9" ht="14.25" customHeight="1" x14ac:dyDescent="0.25"/>
    <row r="65" ht="14.25" customHeight="1" x14ac:dyDescent="0.25"/>
    <row r="66" ht="14.25" customHeight="1" x14ac:dyDescent="0.25"/>
    <row r="67" ht="14.25" customHeight="1" x14ac:dyDescent="0.25"/>
    <row r="68" ht="14.25" customHeight="1" x14ac:dyDescent="0.25"/>
    <row r="69" ht="14.25" customHeight="1" x14ac:dyDescent="0.25"/>
    <row r="70" ht="14.25" customHeight="1" x14ac:dyDescent="0.25"/>
    <row r="71" ht="14.25" customHeight="1" x14ac:dyDescent="0.25"/>
    <row r="72" ht="14.25" customHeight="1" x14ac:dyDescent="0.25"/>
    <row r="73" ht="14.25" customHeight="1" x14ac:dyDescent="0.25"/>
  </sheetData>
  <mergeCells count="20">
    <mergeCell ref="B44:B51"/>
    <mergeCell ref="B1:H1"/>
    <mergeCell ref="B4:B11"/>
    <mergeCell ref="B12:B19"/>
    <mergeCell ref="B20:B27"/>
    <mergeCell ref="B28:B35"/>
    <mergeCell ref="C4:H4"/>
    <mergeCell ref="C12:H12"/>
    <mergeCell ref="C20:H20"/>
    <mergeCell ref="C28:H28"/>
    <mergeCell ref="C44:H44"/>
    <mergeCell ref="C36:H36"/>
    <mergeCell ref="B36:B43"/>
    <mergeCell ref="C58:H58"/>
    <mergeCell ref="B59:H59"/>
    <mergeCell ref="B53:H53"/>
    <mergeCell ref="B54:H54"/>
    <mergeCell ref="B55:H55"/>
    <mergeCell ref="B56:H56"/>
    <mergeCell ref="B57:H57"/>
  </mergeCells>
  <pageMargins left="0.70866141732283472" right="0.70866141732283472" top="0.74803149606299213" bottom="0.74803149606299213" header="0.31496062992125984" footer="0.31496062992125984"/>
  <pageSetup paperSize="9" scale="57" orientation="portrait" horizontalDpi="300" verticalDpi="30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392FE9-6AAD-463A-8042-1E9033719C48}">
  <sheetPr codeName="Sheet9">
    <tabColor theme="0"/>
    <pageSetUpPr fitToPage="1"/>
  </sheetPr>
  <dimension ref="B2:C64"/>
  <sheetViews>
    <sheetView view="pageLayout" zoomScale="80" zoomScaleNormal="100" zoomScalePageLayoutView="80" workbookViewId="0">
      <selection activeCell="B81" sqref="B81"/>
    </sheetView>
  </sheetViews>
  <sheetFormatPr defaultRowHeight="15" x14ac:dyDescent="0.25"/>
  <cols>
    <col min="2" max="2" width="1.85546875" customWidth="1"/>
    <col min="3" max="3" width="118.7109375" customWidth="1"/>
  </cols>
  <sheetData>
    <row r="2" spans="2:3" ht="20.25" x14ac:dyDescent="0.25">
      <c r="C2" s="1334" t="s">
        <v>151</v>
      </c>
    </row>
    <row r="3" spans="2:3" ht="24" customHeight="1" x14ac:dyDescent="0.25">
      <c r="C3" s="1762" t="s">
        <v>152</v>
      </c>
    </row>
    <row r="4" spans="2:3" ht="63" x14ac:dyDescent="0.25">
      <c r="C4" s="1763" t="s">
        <v>153</v>
      </c>
    </row>
    <row r="5" spans="2:3" ht="70.5" customHeight="1" x14ac:dyDescent="0.25">
      <c r="C5" s="1763" t="s">
        <v>154</v>
      </c>
    </row>
    <row r="6" spans="2:3" ht="78.75" x14ac:dyDescent="0.25">
      <c r="C6" s="1763" t="s">
        <v>155</v>
      </c>
    </row>
    <row r="7" spans="2:3" ht="84" customHeight="1" x14ac:dyDescent="0.25">
      <c r="C7" s="1763" t="s">
        <v>2380</v>
      </c>
    </row>
    <row r="8" spans="2:3" ht="15.75" x14ac:dyDescent="0.25">
      <c r="C8" s="1763" t="s">
        <v>2765</v>
      </c>
    </row>
    <row r="9" spans="2:3" ht="32.25" thickBot="1" x14ac:dyDescent="0.3">
      <c r="C9" s="1764" t="s">
        <v>2766</v>
      </c>
    </row>
    <row r="15" spans="2:3" ht="76.5" customHeight="1" x14ac:dyDescent="0.25">
      <c r="B15" s="1454"/>
    </row>
    <row r="64" ht="1.5" customHeight="1" x14ac:dyDescent="0.25"/>
  </sheetData>
  <pageMargins left="0.70866141732283472" right="0.70866141732283472" top="0.74803149606299213" bottom="0.74803149606299213" header="0.31496062992125984" footer="0.31496062992125984"/>
  <pageSetup paperSize="9" scale="68"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EFBCAC-0C0C-43A2-BD52-7EA137AC2D70}">
  <sheetPr>
    <tabColor theme="0"/>
    <pageSetUpPr fitToPage="1"/>
  </sheetPr>
  <dimension ref="A1:H62"/>
  <sheetViews>
    <sheetView showGridLines="0" view="pageLayout" topLeftCell="A46" zoomScale="70" zoomScaleNormal="80" zoomScalePageLayoutView="70" workbookViewId="0">
      <selection activeCell="B81" sqref="B81"/>
    </sheetView>
  </sheetViews>
  <sheetFormatPr defaultColWidth="8.42578125" defaultRowHeight="11.25" x14ac:dyDescent="0.2"/>
  <cols>
    <col min="1" max="1" width="8.5703125" style="36" customWidth="1"/>
    <col min="2" max="2" width="32.28515625" style="30" customWidth="1"/>
    <col min="3" max="3" width="21.5703125" style="30" customWidth="1"/>
    <col min="4" max="4" width="21.42578125" style="30" customWidth="1"/>
    <col min="5" max="5" width="17.5703125" style="30" customWidth="1"/>
    <col min="6" max="6" width="17" style="33" customWidth="1"/>
    <col min="7" max="7" width="18.140625" style="33" customWidth="1"/>
    <col min="8" max="8" width="14.42578125" style="33" customWidth="1"/>
    <col min="9" max="9" width="14.5703125" style="30" customWidth="1"/>
    <col min="10" max="16384" width="8.42578125" style="30"/>
  </cols>
  <sheetData>
    <row r="1" spans="1:8" ht="24.75" customHeight="1" x14ac:dyDescent="0.2">
      <c r="A1" s="2664" t="s">
        <v>2229</v>
      </c>
      <c r="B1" s="2664"/>
      <c r="C1" s="2664"/>
      <c r="D1" s="2664"/>
      <c r="E1" s="2664"/>
      <c r="F1" s="2664"/>
      <c r="G1" s="2664"/>
      <c r="H1" s="2664"/>
    </row>
    <row r="2" spans="1:8" ht="12.75" customHeight="1" x14ac:dyDescent="0.2">
      <c r="A2" s="2672" t="s">
        <v>156</v>
      </c>
      <c r="B2" s="2672" t="s">
        <v>116</v>
      </c>
      <c r="C2" s="2671" t="s">
        <v>158</v>
      </c>
      <c r="D2" s="2671"/>
      <c r="E2" s="2671"/>
      <c r="F2" s="2671" t="s">
        <v>2636</v>
      </c>
      <c r="G2" s="2671"/>
      <c r="H2" s="2671"/>
    </row>
    <row r="3" spans="1:8" ht="44.45" customHeight="1" x14ac:dyDescent="0.2">
      <c r="A3" s="2672"/>
      <c r="B3" s="2672"/>
      <c r="C3" s="1640" t="s">
        <v>2633</v>
      </c>
      <c r="D3" s="1640" t="s">
        <v>2634</v>
      </c>
      <c r="E3" s="1640" t="s">
        <v>2635</v>
      </c>
      <c r="F3" s="38" t="s">
        <v>158</v>
      </c>
      <c r="G3" s="38" t="s">
        <v>157</v>
      </c>
      <c r="H3" s="38" t="s">
        <v>2631</v>
      </c>
    </row>
    <row r="4" spans="1:8" ht="16.5" customHeight="1" x14ac:dyDescent="0.3">
      <c r="A4" s="897">
        <v>1</v>
      </c>
      <c r="B4" s="581" t="s">
        <v>159</v>
      </c>
      <c r="C4" s="1638">
        <v>76.847999999999999</v>
      </c>
      <c r="D4" s="1638">
        <v>296.50099999999998</v>
      </c>
      <c r="E4" s="1638">
        <v>303.805745</v>
      </c>
      <c r="F4" s="895">
        <v>303.805745</v>
      </c>
      <c r="G4" s="1635">
        <v>48.03454153022011</v>
      </c>
      <c r="H4" s="1656">
        <v>1537.8468301715404</v>
      </c>
    </row>
    <row r="5" spans="1:8" ht="16.5" customHeight="1" x14ac:dyDescent="0.3">
      <c r="A5" s="897">
        <v>2</v>
      </c>
      <c r="B5" s="581" t="s">
        <v>142</v>
      </c>
      <c r="C5" s="1638">
        <v>262.76600000000002</v>
      </c>
      <c r="D5" s="1638">
        <v>264.51600000000002</v>
      </c>
      <c r="E5" s="1638">
        <v>297.57799999999997</v>
      </c>
      <c r="F5" s="895">
        <v>297.52699999999999</v>
      </c>
      <c r="G5" s="1635">
        <v>40.869093406593407</v>
      </c>
      <c r="H5" s="1656">
        <v>73.640627261652924</v>
      </c>
    </row>
    <row r="6" spans="1:8" ht="16.5" customHeight="1" x14ac:dyDescent="0.3">
      <c r="A6" s="897">
        <v>3</v>
      </c>
      <c r="B6" s="581" t="s">
        <v>136</v>
      </c>
      <c r="C6" s="1638">
        <v>181.50369745653728</v>
      </c>
      <c r="D6" s="1638">
        <v>174.84802100133899</v>
      </c>
      <c r="E6" s="1638">
        <v>169.12490962588842</v>
      </c>
      <c r="F6" s="895">
        <v>168.08761081922776</v>
      </c>
      <c r="G6" s="1635">
        <v>27.059976914284633</v>
      </c>
      <c r="H6" s="1656">
        <v>89.427957307707487</v>
      </c>
    </row>
    <row r="7" spans="1:8" ht="16.5" customHeight="1" x14ac:dyDescent="0.3">
      <c r="A7" s="897">
        <v>4</v>
      </c>
      <c r="B7" s="581" t="s">
        <v>141</v>
      </c>
      <c r="C7" s="1638">
        <v>99.53</v>
      </c>
      <c r="D7" s="1638">
        <v>151.16999999999999</v>
      </c>
      <c r="E7" s="1638">
        <v>157.80000000000001</v>
      </c>
      <c r="F7" s="895">
        <v>157.80000000000001</v>
      </c>
      <c r="G7" s="1635">
        <v>21.675824175824175</v>
      </c>
      <c r="H7" s="1656">
        <v>139.80140758223297</v>
      </c>
    </row>
    <row r="8" spans="1:8" ht="16.5" customHeight="1" x14ac:dyDescent="0.3">
      <c r="A8" s="897">
        <v>5</v>
      </c>
      <c r="B8" s="581" t="s">
        <v>160</v>
      </c>
      <c r="C8" s="1638">
        <v>112.50000000000001</v>
      </c>
      <c r="D8" s="1638">
        <v>115</v>
      </c>
      <c r="E8" s="1638">
        <v>145.01900000000001</v>
      </c>
      <c r="F8" s="895">
        <v>145.01900000000001</v>
      </c>
      <c r="G8" s="1635">
        <v>19.570715249662619</v>
      </c>
      <c r="H8" s="1656">
        <v>96.319418885293317</v>
      </c>
    </row>
    <row r="9" spans="1:8" ht="16.5" customHeight="1" x14ac:dyDescent="0.3">
      <c r="A9" s="897">
        <v>6</v>
      </c>
      <c r="B9" s="581" t="s">
        <v>134</v>
      </c>
      <c r="C9" s="1638">
        <v>112.11202259999999</v>
      </c>
      <c r="D9" s="1638">
        <v>105.80035179999999</v>
      </c>
      <c r="E9" s="1638">
        <v>107.80423919999998</v>
      </c>
      <c r="F9" s="895">
        <v>107.80423919999998</v>
      </c>
      <c r="G9" s="1635">
        <v>14.767703999999998</v>
      </c>
      <c r="H9" s="1656">
        <v>27.614035960753395</v>
      </c>
    </row>
    <row r="10" spans="1:8" ht="16.5" customHeight="1" x14ac:dyDescent="0.3">
      <c r="A10" s="897">
        <v>7</v>
      </c>
      <c r="B10" s="581" t="s">
        <v>161</v>
      </c>
      <c r="C10" s="1638">
        <v>96.5</v>
      </c>
      <c r="D10" s="1638">
        <v>101.5</v>
      </c>
      <c r="E10" s="1638">
        <v>101.5</v>
      </c>
      <c r="F10" s="895">
        <v>101.5</v>
      </c>
      <c r="G10" s="1635">
        <v>13.980716253443527</v>
      </c>
      <c r="H10" s="1656">
        <v>103.24559693319809</v>
      </c>
    </row>
    <row r="11" spans="1:8" ht="16.5" customHeight="1" x14ac:dyDescent="0.3">
      <c r="A11" s="897">
        <v>8</v>
      </c>
      <c r="B11" s="581" t="s">
        <v>162</v>
      </c>
      <c r="C11" s="1638">
        <v>97.8</v>
      </c>
      <c r="D11" s="1638">
        <v>97.8</v>
      </c>
      <c r="E11" s="1638">
        <v>97.8</v>
      </c>
      <c r="F11" s="895">
        <v>97.8</v>
      </c>
      <c r="G11" s="1635">
        <v>12.975985139976117</v>
      </c>
      <c r="H11" s="1656">
        <v>73.078445727094334</v>
      </c>
    </row>
    <row r="12" spans="1:8" ht="16.5" customHeight="1" x14ac:dyDescent="0.3">
      <c r="A12" s="897">
        <v>9</v>
      </c>
      <c r="B12" s="581" t="s">
        <v>129</v>
      </c>
      <c r="C12" s="1638">
        <v>30.39</v>
      </c>
      <c r="D12" s="1638">
        <v>34.99</v>
      </c>
      <c r="E12" s="1638">
        <v>68.757000000000005</v>
      </c>
      <c r="F12" s="895">
        <v>68.757000000000005</v>
      </c>
      <c r="G12" s="1635">
        <v>8.2027681126175622</v>
      </c>
      <c r="H12" s="1656">
        <v>11.40227479158141</v>
      </c>
    </row>
    <row r="13" spans="1:8" ht="16.5" customHeight="1" x14ac:dyDescent="0.3">
      <c r="A13" s="897">
        <v>10</v>
      </c>
      <c r="B13" s="581" t="s">
        <v>163</v>
      </c>
      <c r="C13" s="1638">
        <v>36</v>
      </c>
      <c r="D13" s="1638">
        <v>47.097000000000001</v>
      </c>
      <c r="E13" s="1638">
        <v>48.363</v>
      </c>
      <c r="F13" s="895">
        <v>48.363</v>
      </c>
      <c r="G13" s="1635">
        <v>6.2972656249999996</v>
      </c>
      <c r="H13" s="1656">
        <v>339.16976875600773</v>
      </c>
    </row>
    <row r="14" spans="1:8" ht="16.5" customHeight="1" x14ac:dyDescent="0.3">
      <c r="A14" s="897">
        <v>11</v>
      </c>
      <c r="B14" s="581" t="s">
        <v>164</v>
      </c>
      <c r="C14" s="1638">
        <v>29</v>
      </c>
      <c r="D14" s="1638">
        <v>37.200000000000003</v>
      </c>
      <c r="E14" s="1638">
        <v>36.890000000000008</v>
      </c>
      <c r="F14" s="895">
        <v>36.890000000000008</v>
      </c>
      <c r="G14" s="1635">
        <v>4.9784075573549265</v>
      </c>
      <c r="H14" s="1656">
        <v>56.07065605179163</v>
      </c>
    </row>
    <row r="15" spans="1:8" ht="18.75" x14ac:dyDescent="0.3">
      <c r="A15" s="897">
        <v>12</v>
      </c>
      <c r="B15" s="581" t="s">
        <v>165</v>
      </c>
      <c r="C15" s="1638">
        <v>5.4</v>
      </c>
      <c r="D15" s="1638">
        <v>30</v>
      </c>
      <c r="E15" s="1638">
        <v>30</v>
      </c>
      <c r="F15" s="895">
        <v>30</v>
      </c>
      <c r="G15" s="1635">
        <v>3.9318479685452163</v>
      </c>
      <c r="H15" s="1656">
        <v>45.264374275361043</v>
      </c>
    </row>
    <row r="16" spans="1:8" ht="16.5" customHeight="1" x14ac:dyDescent="0.3">
      <c r="A16" s="897">
        <v>13</v>
      </c>
      <c r="B16" s="581" t="s">
        <v>125</v>
      </c>
      <c r="C16" s="1638">
        <v>15.190300000000001</v>
      </c>
      <c r="D16" s="1638">
        <v>23.268007489999999</v>
      </c>
      <c r="E16" s="1638">
        <v>25.962757379999999</v>
      </c>
      <c r="F16" s="895">
        <v>25.962757379999999</v>
      </c>
      <c r="G16" s="1635">
        <v>3.5419860000000001</v>
      </c>
      <c r="H16" s="1656">
        <v>18.185573679589666</v>
      </c>
    </row>
    <row r="17" spans="1:8" ht="16.5" customHeight="1" x14ac:dyDescent="0.3">
      <c r="A17" s="897">
        <v>14</v>
      </c>
      <c r="B17" s="581" t="s">
        <v>166</v>
      </c>
      <c r="C17" s="1638">
        <v>16.866700000000002</v>
      </c>
      <c r="D17" s="1638">
        <v>24.683999999999997</v>
      </c>
      <c r="E17" s="1638">
        <v>25.243999999999996</v>
      </c>
      <c r="F17" s="895">
        <v>25.243999999999996</v>
      </c>
      <c r="G17" s="1635">
        <v>2.6461735748991302</v>
      </c>
      <c r="H17" s="1656">
        <v>38.123832250396248</v>
      </c>
    </row>
    <row r="18" spans="1:8" ht="16.5" customHeight="1" x14ac:dyDescent="0.3">
      <c r="A18" s="897">
        <v>16</v>
      </c>
      <c r="B18" s="581" t="s">
        <v>167</v>
      </c>
      <c r="C18" s="1638">
        <v>11.314</v>
      </c>
      <c r="D18" s="1638">
        <v>12.2</v>
      </c>
      <c r="E18" s="1638">
        <v>12.2</v>
      </c>
      <c r="F18" s="895">
        <v>12.2</v>
      </c>
      <c r="G18" s="1635">
        <v>1.5365239294710327</v>
      </c>
      <c r="H18" s="1656">
        <v>25.026801755872203</v>
      </c>
    </row>
    <row r="19" spans="1:8" ht="16.5" customHeight="1" x14ac:dyDescent="0.3">
      <c r="A19" s="897">
        <v>15</v>
      </c>
      <c r="B19" s="581" t="s">
        <v>139</v>
      </c>
      <c r="C19" s="1638">
        <v>8.4644876492931616</v>
      </c>
      <c r="D19" s="1638">
        <v>14.24633</v>
      </c>
      <c r="E19" s="1638">
        <v>12.714599999999999</v>
      </c>
      <c r="F19" s="895">
        <v>11.925011329482262</v>
      </c>
      <c r="G19" s="1635">
        <v>1.7332865304480034</v>
      </c>
      <c r="H19" s="1656">
        <v>10.768913423462264</v>
      </c>
    </row>
    <row r="20" spans="1:8" ht="16.5" customHeight="1" x14ac:dyDescent="0.3">
      <c r="A20" s="897">
        <v>18</v>
      </c>
      <c r="B20" s="581" t="s">
        <v>169</v>
      </c>
      <c r="C20" s="1638">
        <v>11.366245077766401</v>
      </c>
      <c r="D20" s="1638">
        <v>6.8039921911075032</v>
      </c>
      <c r="E20" s="1638">
        <v>8.5229896236442499</v>
      </c>
      <c r="F20" s="895">
        <v>7.9017046112025353</v>
      </c>
      <c r="G20" s="1635">
        <v>1.0071036084260403</v>
      </c>
      <c r="H20" s="1656">
        <v>10.786808123190095</v>
      </c>
    </row>
    <row r="21" spans="1:8" ht="16.5" customHeight="1" x14ac:dyDescent="0.3">
      <c r="A21" s="897">
        <v>17</v>
      </c>
      <c r="B21" s="581" t="s">
        <v>168</v>
      </c>
      <c r="C21" s="1638">
        <v>5.9720000000000004</v>
      </c>
      <c r="D21" s="1638">
        <v>9.0549999999999997</v>
      </c>
      <c r="E21" s="1638">
        <v>7.7830000000000013</v>
      </c>
      <c r="F21" s="895">
        <v>7.7830000000000013</v>
      </c>
      <c r="G21" s="1635">
        <v>1.0503373819163293</v>
      </c>
      <c r="H21" s="1656">
        <v>16.066170649814289</v>
      </c>
    </row>
    <row r="22" spans="1:8" ht="16.5" customHeight="1" x14ac:dyDescent="0.3">
      <c r="A22" s="897">
        <v>19</v>
      </c>
      <c r="B22" s="581" t="s">
        <v>170</v>
      </c>
      <c r="C22" s="1638">
        <v>1.1779999999999999</v>
      </c>
      <c r="D22" s="1638">
        <v>7</v>
      </c>
      <c r="E22" s="1638">
        <v>7</v>
      </c>
      <c r="F22" s="895">
        <v>7</v>
      </c>
      <c r="G22" s="1635">
        <v>0.95890410958904115</v>
      </c>
      <c r="H22" s="1656">
        <v>26.707991744480484</v>
      </c>
    </row>
    <row r="23" spans="1:8" ht="16.5" customHeight="1" x14ac:dyDescent="0.3">
      <c r="A23" s="897">
        <v>20</v>
      </c>
      <c r="B23" s="581" t="s">
        <v>140</v>
      </c>
      <c r="C23" s="1638">
        <v>24.63128</v>
      </c>
      <c r="D23" s="1638">
        <v>10.419600000000001</v>
      </c>
      <c r="E23" s="1638">
        <v>6.0658799999999991</v>
      </c>
      <c r="F23" s="895">
        <v>6.0658799999999991</v>
      </c>
      <c r="G23" s="1635">
        <v>0.86408547008546999</v>
      </c>
      <c r="H23" s="1656">
        <v>8.6776200797803522</v>
      </c>
    </row>
    <row r="24" spans="1:8" ht="16.5" customHeight="1" x14ac:dyDescent="0.3">
      <c r="A24" s="897">
        <v>21</v>
      </c>
      <c r="B24" s="581" t="s">
        <v>171</v>
      </c>
      <c r="C24" s="1638">
        <v>5.8479999999999999</v>
      </c>
      <c r="D24" s="1638">
        <v>5.5</v>
      </c>
      <c r="E24" s="1638">
        <v>5.3730000000000002</v>
      </c>
      <c r="F24" s="895">
        <v>5.3730000000000002</v>
      </c>
      <c r="G24" s="1635">
        <v>0.72903663500678417</v>
      </c>
      <c r="H24" s="1656">
        <v>15.441931526112905</v>
      </c>
    </row>
    <row r="25" spans="1:8" s="32" customFormat="1" ht="16.5" customHeight="1" x14ac:dyDescent="0.3">
      <c r="A25" s="897">
        <v>22</v>
      </c>
      <c r="B25" s="582" t="s">
        <v>132</v>
      </c>
      <c r="C25" s="1639">
        <v>5.2899003000000002</v>
      </c>
      <c r="D25" s="1639">
        <v>5.8331898000000004</v>
      </c>
      <c r="E25" s="1639">
        <v>4.6606143141661374</v>
      </c>
      <c r="F25" s="896">
        <v>4.5432921809788889</v>
      </c>
      <c r="G25" s="1636">
        <v>0.60335885537568246</v>
      </c>
      <c r="H25" s="1657">
        <v>16.105965165048435</v>
      </c>
    </row>
    <row r="26" spans="1:8" ht="16.5" customHeight="1" x14ac:dyDescent="0.3">
      <c r="A26" s="897">
        <v>23</v>
      </c>
      <c r="B26" s="581" t="s">
        <v>172</v>
      </c>
      <c r="C26" s="1638">
        <v>1.95</v>
      </c>
      <c r="D26" s="1638">
        <v>4.4000000000000004</v>
      </c>
      <c r="E26" s="1638">
        <v>4.4000000000000004</v>
      </c>
      <c r="F26" s="895">
        <v>4.4000000000000004</v>
      </c>
      <c r="G26" s="1635">
        <v>0.59459459459459463</v>
      </c>
      <c r="H26" s="1656">
        <v>58.056098420392509</v>
      </c>
    </row>
    <row r="27" spans="1:8" ht="16.5" customHeight="1" x14ac:dyDescent="0.3">
      <c r="A27" s="897">
        <v>24</v>
      </c>
      <c r="B27" s="581" t="s">
        <v>173</v>
      </c>
      <c r="C27" s="1638">
        <v>0.67832000000000015</v>
      </c>
      <c r="D27" s="1638">
        <v>2.2661220000000006</v>
      </c>
      <c r="E27" s="1638">
        <v>3.7388839223337373</v>
      </c>
      <c r="F27" s="895">
        <v>3.8229500820879543</v>
      </c>
      <c r="G27" s="1635">
        <v>0.52033542943000133</v>
      </c>
      <c r="H27" s="1656">
        <v>33.239933622146438</v>
      </c>
    </row>
    <row r="28" spans="1:8" ht="16.5" customHeight="1" x14ac:dyDescent="0.3">
      <c r="A28" s="897">
        <v>26</v>
      </c>
      <c r="B28" s="581" t="s">
        <v>174</v>
      </c>
      <c r="C28" s="1637" t="s">
        <v>2632</v>
      </c>
      <c r="D28" s="1637" t="s">
        <v>2632</v>
      </c>
      <c r="E28" s="1638">
        <v>3.5</v>
      </c>
      <c r="F28" s="895">
        <v>3.5</v>
      </c>
      <c r="G28" s="1635">
        <v>0.47233468286099867</v>
      </c>
      <c r="H28" s="1656">
        <v>56.41431630682537</v>
      </c>
    </row>
    <row r="29" spans="1:8" ht="16.5" customHeight="1" x14ac:dyDescent="0.3">
      <c r="A29" s="897">
        <v>27</v>
      </c>
      <c r="B29" s="581" t="s">
        <v>175</v>
      </c>
      <c r="C29" s="1638">
        <v>3.6269</v>
      </c>
      <c r="D29" s="1638">
        <v>4.5</v>
      </c>
      <c r="E29" s="1638">
        <v>3.1459999999999999</v>
      </c>
      <c r="F29" s="895">
        <v>3.1459999999999999</v>
      </c>
      <c r="G29" s="1635">
        <v>0.41318622848200315</v>
      </c>
      <c r="H29" s="1656">
        <v>13.950604553267466</v>
      </c>
    </row>
    <row r="30" spans="1:8" ht="16.5" customHeight="1" x14ac:dyDescent="0.3">
      <c r="A30" s="897">
        <v>25</v>
      </c>
      <c r="B30" s="581" t="s">
        <v>177</v>
      </c>
      <c r="C30" s="1638">
        <v>2.4</v>
      </c>
      <c r="D30" s="1638">
        <v>3</v>
      </c>
      <c r="E30" s="1638">
        <v>3</v>
      </c>
      <c r="F30" s="895">
        <v>3</v>
      </c>
      <c r="G30" s="1635">
        <v>0.39318479685452162</v>
      </c>
      <c r="H30" s="1656">
        <v>86.670133472005546</v>
      </c>
    </row>
    <row r="31" spans="1:8" ht="16.5" customHeight="1" x14ac:dyDescent="0.3">
      <c r="A31" s="897">
        <v>28</v>
      </c>
      <c r="B31" s="581" t="s">
        <v>176</v>
      </c>
      <c r="C31" s="1638">
        <v>1.5059130000000001</v>
      </c>
      <c r="D31" s="1638">
        <v>2</v>
      </c>
      <c r="E31" s="1638">
        <v>2.8820000000000001</v>
      </c>
      <c r="F31" s="895">
        <v>2.8820000000000001</v>
      </c>
      <c r="G31" s="1635">
        <v>0.40706214689265535</v>
      </c>
      <c r="H31" s="1656">
        <v>25.670262031809472</v>
      </c>
    </row>
    <row r="32" spans="1:8" ht="16.5" customHeight="1" x14ac:dyDescent="0.3">
      <c r="A32" s="897">
        <v>29</v>
      </c>
      <c r="B32" s="581" t="s">
        <v>178</v>
      </c>
      <c r="C32" s="1638">
        <v>2.1255300000000004</v>
      </c>
      <c r="D32" s="1638">
        <v>3.5719999999999996</v>
      </c>
      <c r="E32" s="1638">
        <v>2.7318000000000002</v>
      </c>
      <c r="F32" s="895">
        <v>2.7318000000000002</v>
      </c>
      <c r="G32" s="1635">
        <v>0.35756544502617799</v>
      </c>
      <c r="H32" s="1656">
        <v>12.527838226039899</v>
      </c>
    </row>
    <row r="33" spans="1:8" ht="16.5" customHeight="1" x14ac:dyDescent="0.3">
      <c r="A33" s="897">
        <v>30</v>
      </c>
      <c r="B33" s="581" t="s">
        <v>144</v>
      </c>
      <c r="C33" s="1638">
        <v>4.7249999999999996</v>
      </c>
      <c r="D33" s="1638">
        <v>2.8050000000000002</v>
      </c>
      <c r="E33" s="1638">
        <v>2.5</v>
      </c>
      <c r="F33" s="895">
        <v>2.5</v>
      </c>
      <c r="G33" s="1635">
        <v>0.33333333333333331</v>
      </c>
      <c r="H33" s="1656">
        <v>6.637914425586902</v>
      </c>
    </row>
    <row r="34" spans="1:8" ht="16.5" customHeight="1" x14ac:dyDescent="0.3">
      <c r="A34" s="897"/>
      <c r="B34" s="582" t="s">
        <v>147</v>
      </c>
      <c r="C34" s="896">
        <f>SUM(C4:C33)</f>
        <v>1263.4822960835975</v>
      </c>
      <c r="D34" s="896">
        <f>SUM(D4:D33)</f>
        <v>1597.9756142824463</v>
      </c>
      <c r="E34" s="896">
        <f>SUM(E4:E33)</f>
        <v>1705.8674190660331</v>
      </c>
      <c r="F34" s="896">
        <f>SUM(F4:F33)</f>
        <v>1703.3349906029798</v>
      </c>
      <c r="G34" s="896">
        <f>SUM(G4:G33)</f>
        <v>240.50723868621409</v>
      </c>
      <c r="H34" s="1656"/>
    </row>
    <row r="35" spans="1:8" ht="16.5" customHeight="1" x14ac:dyDescent="0.3">
      <c r="A35" s="897"/>
      <c r="B35" s="581" t="s">
        <v>148</v>
      </c>
      <c r="C35" s="895">
        <f>C36-C34</f>
        <v>37.441779721847297</v>
      </c>
      <c r="D35" s="895">
        <f>D36-D34</f>
        <v>38.911049760720971</v>
      </c>
      <c r="E35" s="895">
        <f>E36-E34</f>
        <v>28.943117941095352</v>
      </c>
      <c r="F35" s="895">
        <f>F36-F34</f>
        <v>29.031184762638532</v>
      </c>
      <c r="G35" s="895">
        <f>G36-G34</f>
        <v>3.9142335771422836</v>
      </c>
      <c r="H35" s="1656"/>
    </row>
    <row r="36" spans="1:8" ht="16.5" customHeight="1" x14ac:dyDescent="0.3">
      <c r="A36" s="897"/>
      <c r="B36" s="582" t="s">
        <v>146</v>
      </c>
      <c r="C36" s="1639">
        <v>1300.9240758054448</v>
      </c>
      <c r="D36" s="1639">
        <v>1636.8866640431672</v>
      </c>
      <c r="E36" s="1639">
        <v>1734.8105370071285</v>
      </c>
      <c r="F36" s="896">
        <v>1732.3661753656183</v>
      </c>
      <c r="G36" s="896">
        <v>244.42147226335638</v>
      </c>
      <c r="H36" s="1657">
        <v>53.548839027745487</v>
      </c>
    </row>
    <row r="37" spans="1:8" ht="16.5" customHeight="1" x14ac:dyDescent="0.3">
      <c r="A37" s="897"/>
      <c r="B37" s="581" t="s">
        <v>180</v>
      </c>
      <c r="C37" s="1638">
        <v>262.67762905294666</v>
      </c>
      <c r="D37" s="1638">
        <v>238.5419245842148</v>
      </c>
      <c r="E37" s="1638">
        <v>261.48075930988205</v>
      </c>
      <c r="F37" s="895">
        <v>259.96269327167607</v>
      </c>
      <c r="G37" s="895">
        <v>38.326673498852742</v>
      </c>
      <c r="H37" s="1656">
        <v>25.172590924666615</v>
      </c>
    </row>
    <row r="38" spans="1:8" ht="16.5" customHeight="1" x14ac:dyDescent="0.3">
      <c r="A38" s="897"/>
      <c r="B38" s="581" t="s">
        <v>181</v>
      </c>
      <c r="C38" s="1638">
        <v>1038.2464467524983</v>
      </c>
      <c r="D38" s="1638">
        <v>1398.3447394589527</v>
      </c>
      <c r="E38" s="1638">
        <v>1473.3297776972465</v>
      </c>
      <c r="F38" s="895">
        <v>1472.4034820939423</v>
      </c>
      <c r="G38" s="895">
        <v>206.09479876450359</v>
      </c>
      <c r="H38" s="1656">
        <v>66.854708004399029</v>
      </c>
    </row>
    <row r="39" spans="1:8" ht="16.5" customHeight="1" x14ac:dyDescent="0.3">
      <c r="A39" s="897"/>
      <c r="B39" s="581" t="s">
        <v>182</v>
      </c>
      <c r="C39" s="1638">
        <v>832.95591300000001</v>
      </c>
      <c r="D39" s="1638">
        <v>1137.7440000000001</v>
      </c>
      <c r="E39" s="1638">
        <v>1214.7207449999999</v>
      </c>
      <c r="F39" s="895">
        <v>1214.6697449999997</v>
      </c>
      <c r="G39" s="895">
        <v>171.79932393891571</v>
      </c>
      <c r="H39" s="1656">
        <v>108.3280520834418</v>
      </c>
    </row>
    <row r="40" spans="1:8" ht="16.5" customHeight="1" x14ac:dyDescent="0.3">
      <c r="A40" s="897"/>
      <c r="B40" s="581" t="s">
        <v>183</v>
      </c>
      <c r="C40" s="1638">
        <v>467.96816280544499</v>
      </c>
      <c r="D40" s="1638">
        <v>499.14266404316731</v>
      </c>
      <c r="E40" s="1638">
        <v>520.08979200712872</v>
      </c>
      <c r="F40" s="895">
        <v>517.69643036561831</v>
      </c>
      <c r="G40" s="895">
        <v>72.62214832444063</v>
      </c>
      <c r="H40" s="1656">
        <v>24.490966227840001</v>
      </c>
    </row>
    <row r="41" spans="1:8" ht="16.5" customHeight="1" x14ac:dyDescent="0.3">
      <c r="A41" s="897"/>
      <c r="B41" s="581" t="s">
        <v>184</v>
      </c>
      <c r="C41" s="1638">
        <v>3.9291374391769502</v>
      </c>
      <c r="D41" s="1638">
        <v>3.1935302113644952</v>
      </c>
      <c r="E41" s="1638">
        <v>2.3597122862366526</v>
      </c>
      <c r="F41" s="895">
        <v>2.4243851241331189</v>
      </c>
      <c r="G41" s="895">
        <v>0.32587950012232958</v>
      </c>
      <c r="H41" s="1656">
        <v>16.797747062927094</v>
      </c>
    </row>
    <row r="42" spans="1:8" ht="16.5" customHeight="1" x14ac:dyDescent="0.3">
      <c r="A42" s="897"/>
      <c r="B42" s="583" t="s">
        <v>185</v>
      </c>
      <c r="C42" s="1641">
        <v>174.91334697572466</v>
      </c>
      <c r="D42" s="1641">
        <v>169.18332938807728</v>
      </c>
      <c r="E42" s="1641">
        <v>162.39864262471193</v>
      </c>
      <c r="F42" s="895">
        <v>161.36134381805127</v>
      </c>
      <c r="G42" s="895">
        <v>26.224824283772353</v>
      </c>
      <c r="H42" s="1656" t="s">
        <v>186</v>
      </c>
    </row>
    <row r="43" spans="1:8" ht="16.5" customHeight="1" x14ac:dyDescent="0.3">
      <c r="A43" s="897"/>
      <c r="B43" s="581" t="s">
        <v>187</v>
      </c>
      <c r="C43" s="1638">
        <v>11.70659575645362</v>
      </c>
      <c r="D43" s="1638">
        <v>25.929744791521621</v>
      </c>
      <c r="E43" s="1638">
        <v>19.911818740325167</v>
      </c>
      <c r="F43" s="895">
        <v>18.874519933664484</v>
      </c>
      <c r="G43" s="895">
        <v>3.0675312747707597</v>
      </c>
      <c r="H43" s="1656" t="s">
        <v>186</v>
      </c>
    </row>
    <row r="44" spans="1:8" ht="16.5" customHeight="1" x14ac:dyDescent="0.3">
      <c r="A44" s="897"/>
      <c r="B44" s="581" t="s">
        <v>188</v>
      </c>
      <c r="C44" s="1638">
        <v>0</v>
      </c>
      <c r="D44" s="1638">
        <v>220</v>
      </c>
      <c r="E44" s="1638">
        <v>261.78775141792818</v>
      </c>
      <c r="F44" s="895">
        <v>261.78775141792818</v>
      </c>
      <c r="G44" s="895">
        <v>41.980075596204003</v>
      </c>
      <c r="H44" s="1656" t="s">
        <v>186</v>
      </c>
    </row>
    <row r="45" spans="1:8" s="33" customFormat="1" ht="27" customHeight="1" x14ac:dyDescent="0.2">
      <c r="A45" s="2665" t="s">
        <v>2909</v>
      </c>
      <c r="B45" s="2665"/>
      <c r="C45" s="2665"/>
      <c r="D45" s="2665"/>
      <c r="E45" s="2665"/>
      <c r="F45" s="2665"/>
      <c r="G45" s="2665"/>
      <c r="H45" s="2665"/>
    </row>
    <row r="46" spans="1:8" s="34" customFormat="1" ht="158.25" customHeight="1" x14ac:dyDescent="0.2">
      <c r="A46" s="2666" t="s">
        <v>2299</v>
      </c>
      <c r="B46" s="2666"/>
      <c r="C46" s="2666"/>
      <c r="D46" s="2666"/>
      <c r="E46" s="2666"/>
      <c r="F46" s="2666"/>
      <c r="G46" s="2666"/>
      <c r="H46" s="2666"/>
    </row>
    <row r="47" spans="1:8" s="34" customFormat="1" ht="151.5" customHeight="1" x14ac:dyDescent="0.2">
      <c r="A47" s="2667" t="s">
        <v>2300</v>
      </c>
      <c r="B47" s="2667"/>
      <c r="C47" s="2667"/>
      <c r="D47" s="2667"/>
      <c r="E47" s="2667"/>
      <c r="F47" s="2667"/>
      <c r="G47" s="2667"/>
      <c r="H47" s="2667"/>
    </row>
    <row r="48" spans="1:8" s="33" customFormat="1" ht="22.5" hidden="1" customHeight="1" x14ac:dyDescent="0.2">
      <c r="A48" s="2668" t="s">
        <v>2379</v>
      </c>
      <c r="B48" s="2669"/>
      <c r="C48" s="2669"/>
      <c r="D48" s="2669"/>
      <c r="E48" s="2669"/>
      <c r="F48" s="2669"/>
      <c r="G48" s="2669"/>
      <c r="H48" s="2670"/>
    </row>
    <row r="49" spans="1:8" s="33" customFormat="1" ht="11.25" customHeight="1" x14ac:dyDescent="0.2">
      <c r="A49" s="2663"/>
      <c r="B49" s="2663"/>
      <c r="C49" s="2663"/>
      <c r="D49" s="2663"/>
      <c r="E49" s="2663"/>
      <c r="F49" s="2663"/>
      <c r="G49" s="2663"/>
      <c r="H49" s="2663"/>
    </row>
    <row r="62" spans="1:8" ht="1.5" customHeight="1" x14ac:dyDescent="0.2"/>
  </sheetData>
  <mergeCells count="10">
    <mergeCell ref="A49:H49"/>
    <mergeCell ref="A1:H1"/>
    <mergeCell ref="A45:H45"/>
    <mergeCell ref="A46:H46"/>
    <mergeCell ref="A47:H47"/>
    <mergeCell ref="A48:H48"/>
    <mergeCell ref="F2:H2"/>
    <mergeCell ref="B2:B3"/>
    <mergeCell ref="A2:A3"/>
    <mergeCell ref="C2:E2"/>
  </mergeCells>
  <pageMargins left="0.70866141732283472" right="0.70866141732283472" top="0.74803149606299213" bottom="0.74803149606299213" header="0.31496062992125984" footer="0.31496062992125984"/>
  <pageSetup paperSize="9" scale="59" orientation="portrait" horizontalDpi="300" verticalDpi="30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6E65A1-D6AB-4A64-B463-EB31A4C6E575}">
  <sheetPr>
    <tabColor theme="0"/>
    <pageSetUpPr fitToPage="1"/>
  </sheetPr>
  <dimension ref="A1:N64"/>
  <sheetViews>
    <sheetView showGridLines="0" view="pageLayout" topLeftCell="A34" zoomScaleNormal="80" workbookViewId="0">
      <selection activeCell="B81" sqref="B81"/>
    </sheetView>
  </sheetViews>
  <sheetFormatPr defaultColWidth="9.140625" defaultRowHeight="15.75" x14ac:dyDescent="0.25"/>
  <cols>
    <col min="1" max="1" width="7" style="1644" customWidth="1"/>
    <col min="2" max="2" width="22.140625" style="375" customWidth="1"/>
    <col min="3" max="3" width="10" style="375" customWidth="1"/>
    <col min="4" max="4" width="10.28515625" style="375" customWidth="1"/>
    <col min="5" max="5" width="8.85546875" style="375" customWidth="1"/>
    <col min="6" max="6" width="9.7109375" style="375" customWidth="1"/>
    <col min="7" max="7" width="9.7109375" style="377" customWidth="1"/>
    <col min="8" max="8" width="17.5703125" style="378" customWidth="1"/>
    <col min="9" max="9" width="3.7109375" style="375" hidden="1" customWidth="1"/>
    <col min="10" max="11" width="9.140625" style="375"/>
    <col min="12" max="12" width="23.140625" style="375" bestFit="1" customWidth="1"/>
    <col min="13" max="16384" width="9.140625" style="375"/>
  </cols>
  <sheetData>
    <row r="1" spans="1:8" ht="18" customHeight="1" x14ac:dyDescent="0.2">
      <c r="A1" s="2675" t="s">
        <v>2604</v>
      </c>
      <c r="B1" s="2675"/>
      <c r="C1" s="2675"/>
      <c r="D1" s="2675"/>
      <c r="E1" s="2675"/>
      <c r="F1" s="2675"/>
      <c r="G1" s="2675"/>
      <c r="H1" s="2675"/>
    </row>
    <row r="2" spans="1:8" ht="15" customHeight="1" x14ac:dyDescent="0.2">
      <c r="A2" s="2679" t="s">
        <v>156</v>
      </c>
      <c r="B2" s="2679" t="s">
        <v>116</v>
      </c>
      <c r="C2" s="2676" t="s">
        <v>189</v>
      </c>
      <c r="D2" s="2677"/>
      <c r="E2" s="2677"/>
      <c r="F2" s="2677"/>
      <c r="G2" s="2678"/>
      <c r="H2" s="1655" t="s">
        <v>190</v>
      </c>
    </row>
    <row r="3" spans="1:8" ht="16.5" x14ac:dyDescent="0.2">
      <c r="A3" s="2679"/>
      <c r="B3" s="2679"/>
      <c r="C3" s="38">
        <v>2021</v>
      </c>
      <c r="D3" s="38">
        <v>2022</v>
      </c>
      <c r="E3" s="38">
        <v>2023</v>
      </c>
      <c r="F3" s="38">
        <v>2024</v>
      </c>
      <c r="G3" s="38">
        <v>2025</v>
      </c>
      <c r="H3" s="2055">
        <v>2025</v>
      </c>
    </row>
    <row r="4" spans="1:8" ht="16.5" x14ac:dyDescent="0.3">
      <c r="A4" s="1645">
        <v>1</v>
      </c>
      <c r="B4" s="1642" t="s">
        <v>129</v>
      </c>
      <c r="C4" s="1647">
        <v>718.08270375321774</v>
      </c>
      <c r="D4" s="1647">
        <v>766.74844605773205</v>
      </c>
      <c r="E4" s="1647">
        <v>829.98781799717813</v>
      </c>
      <c r="F4" s="1648">
        <v>862.90133799703858</v>
      </c>
      <c r="G4" s="1648">
        <v>889.90411069635627</v>
      </c>
      <c r="H4" s="1652">
        <v>21.065367123287668</v>
      </c>
    </row>
    <row r="5" spans="1:8" ht="16.5" x14ac:dyDescent="0.3">
      <c r="A5" s="1645">
        <v>2</v>
      </c>
      <c r="B5" s="1642" t="s">
        <v>142</v>
      </c>
      <c r="C5" s="1647">
        <v>515.02299790822633</v>
      </c>
      <c r="D5" s="1647">
        <v>573.13573724317075</v>
      </c>
      <c r="E5" s="1647">
        <v>528.90460009406706</v>
      </c>
      <c r="F5" s="1648">
        <v>510.16333061137175</v>
      </c>
      <c r="G5" s="1648">
        <v>535.82234089721555</v>
      </c>
      <c r="H5" s="1652">
        <v>11.407904031412023</v>
      </c>
    </row>
    <row r="6" spans="1:8" ht="16.5" x14ac:dyDescent="0.3">
      <c r="A6" s="1645">
        <v>3</v>
      </c>
      <c r="B6" s="1642" t="s">
        <v>134</v>
      </c>
      <c r="C6" s="1647">
        <v>538.78361006316175</v>
      </c>
      <c r="D6" s="1647">
        <v>548.51691960799985</v>
      </c>
      <c r="E6" s="1647">
        <v>541.61842943230408</v>
      </c>
      <c r="F6" s="1648">
        <v>526.58692599592075</v>
      </c>
      <c r="G6" s="1648">
        <v>523.2543987388558</v>
      </c>
      <c r="H6" s="1652">
        <v>10.736755644499784</v>
      </c>
    </row>
    <row r="7" spans="1:8" ht="16.5" x14ac:dyDescent="0.3">
      <c r="A7" s="1645">
        <v>4</v>
      </c>
      <c r="B7" s="1642" t="s">
        <v>136</v>
      </c>
      <c r="C7" s="1647">
        <v>266.61853975468586</v>
      </c>
      <c r="D7" s="1647">
        <v>273.92822796327238</v>
      </c>
      <c r="E7" s="1647">
        <v>277.70705547852879</v>
      </c>
      <c r="F7" s="1648">
        <v>290.16556519065421</v>
      </c>
      <c r="G7" s="1648">
        <v>302.18521765594318</v>
      </c>
      <c r="H7" s="1652">
        <v>6.16378342581715</v>
      </c>
    </row>
    <row r="8" spans="1:8" ht="16.5" x14ac:dyDescent="0.3">
      <c r="A8" s="1645">
        <v>5</v>
      </c>
      <c r="B8" s="1642" t="s">
        <v>141</v>
      </c>
      <c r="C8" s="1647">
        <v>174.24437552593486</v>
      </c>
      <c r="D8" s="1647">
        <v>183.31060873080082</v>
      </c>
      <c r="E8" s="1647">
        <v>215.94146467651325</v>
      </c>
      <c r="F8" s="1648">
        <v>236.8348587112032</v>
      </c>
      <c r="G8" s="1648">
        <v>242.1466465098035</v>
      </c>
      <c r="H8" s="1652">
        <v>5.1840000000000002</v>
      </c>
    </row>
    <row r="9" spans="1:8" ht="16.5" x14ac:dyDescent="0.3">
      <c r="A9" s="1645">
        <v>6</v>
      </c>
      <c r="B9" s="1642" t="s">
        <v>125</v>
      </c>
      <c r="C9" s="1647">
        <v>198.881</v>
      </c>
      <c r="D9" s="1647">
        <v>204.72200000000001</v>
      </c>
      <c r="E9" s="1647">
        <v>209.02600000000001</v>
      </c>
      <c r="F9" s="1648">
        <v>212.89099999999999</v>
      </c>
      <c r="G9" s="1648">
        <v>216.08699999999999</v>
      </c>
      <c r="H9" s="1652">
        <v>4.3959355778789</v>
      </c>
    </row>
    <row r="10" spans="1:8" ht="16.5" x14ac:dyDescent="0.3">
      <c r="A10" s="1645">
        <v>7</v>
      </c>
      <c r="B10" s="1642" t="s">
        <v>160</v>
      </c>
      <c r="C10" s="1647">
        <v>200.82936966819327</v>
      </c>
      <c r="D10" s="1647">
        <v>221.31012576474447</v>
      </c>
      <c r="E10" s="1647">
        <v>213.04076317661799</v>
      </c>
      <c r="F10" s="1648">
        <v>210.65646025319211</v>
      </c>
      <c r="G10" s="1648">
        <v>214.6285913485404</v>
      </c>
      <c r="H10" s="1652">
        <v>4.3395005753424654</v>
      </c>
    </row>
    <row r="11" spans="1:8" ht="16.5" x14ac:dyDescent="0.3">
      <c r="A11" s="1645">
        <v>8</v>
      </c>
      <c r="B11" s="1642" t="s">
        <v>139</v>
      </c>
      <c r="C11" s="1647">
        <v>156.9118650864622</v>
      </c>
      <c r="D11" s="1647">
        <v>163.21586056226701</v>
      </c>
      <c r="E11" s="1647">
        <v>183.57336056474645</v>
      </c>
      <c r="F11" s="1648">
        <v>181.67254459679748</v>
      </c>
      <c r="G11" s="1648">
        <v>203.55234600689224</v>
      </c>
      <c r="H11" s="1652">
        <v>4.2073403958027917</v>
      </c>
    </row>
    <row r="12" spans="1:8" ht="16.5" x14ac:dyDescent="0.3">
      <c r="A12" s="1645">
        <v>9</v>
      </c>
      <c r="B12" s="1642" t="s">
        <v>162</v>
      </c>
      <c r="C12" s="1647">
        <v>165.98889872976775</v>
      </c>
      <c r="D12" s="1647">
        <v>185.49599238452723</v>
      </c>
      <c r="E12" s="1647">
        <v>180.23411151294951</v>
      </c>
      <c r="F12" s="1648">
        <v>179.75023666075359</v>
      </c>
      <c r="G12" s="1648">
        <v>189.05157868045961</v>
      </c>
      <c r="H12" s="1652">
        <v>3.8810248460640437</v>
      </c>
    </row>
    <row r="13" spans="1:8" ht="16.5" x14ac:dyDescent="0.3">
      <c r="A13" s="1645">
        <v>10</v>
      </c>
      <c r="B13" s="1642" t="s">
        <v>161</v>
      </c>
      <c r="C13" s="1647">
        <v>129.99407713498624</v>
      </c>
      <c r="D13" s="1647">
        <v>145.47664049586774</v>
      </c>
      <c r="E13" s="1647">
        <v>139.50662121212119</v>
      </c>
      <c r="F13" s="1648">
        <v>131.9579214876033</v>
      </c>
      <c r="G13" s="1648">
        <v>134.65906291635588</v>
      </c>
      <c r="H13" s="1652">
        <v>2.820251942595795</v>
      </c>
    </row>
    <row r="14" spans="1:8" ht="16.5" x14ac:dyDescent="0.3">
      <c r="A14" s="1645">
        <v>11</v>
      </c>
      <c r="B14" s="1642" t="s">
        <v>165</v>
      </c>
      <c r="C14" s="1647">
        <v>85.877799999999993</v>
      </c>
      <c r="D14" s="1647">
        <v>84.235900000000001</v>
      </c>
      <c r="E14" s="1647">
        <v>89.976699999999994</v>
      </c>
      <c r="F14" s="1648">
        <v>87.745999999999995</v>
      </c>
      <c r="G14" s="1648">
        <v>99.375567000000004</v>
      </c>
      <c r="H14" s="1652">
        <v>2.0881362026849315</v>
      </c>
    </row>
    <row r="15" spans="1:8" ht="16.5" x14ac:dyDescent="0.3">
      <c r="A15" s="1645">
        <v>12</v>
      </c>
      <c r="B15" s="1642" t="s">
        <v>169</v>
      </c>
      <c r="C15" s="1647">
        <v>93.91446492236534</v>
      </c>
      <c r="D15" s="1647">
        <v>89.006503945997679</v>
      </c>
      <c r="E15" s="1647">
        <v>94.634925797727817</v>
      </c>
      <c r="F15" s="1648">
        <v>93.722358000228837</v>
      </c>
      <c r="G15" s="1648">
        <v>96.218407213520848</v>
      </c>
      <c r="H15" s="1652">
        <v>2.0454361317174565</v>
      </c>
    </row>
    <row r="16" spans="1:8" ht="16.5" x14ac:dyDescent="0.3">
      <c r="A16" s="1645">
        <v>13</v>
      </c>
      <c r="B16" s="1642" t="s">
        <v>140</v>
      </c>
      <c r="C16" s="1647">
        <v>96.440933120155236</v>
      </c>
      <c r="D16" s="1647">
        <v>97.631194951506984</v>
      </c>
      <c r="E16" s="1647">
        <v>102.53648967616365</v>
      </c>
      <c r="F16" s="1648">
        <v>96.370417265748955</v>
      </c>
      <c r="G16" s="1648">
        <v>89.38964486626061</v>
      </c>
      <c r="H16" s="1652">
        <v>1.8375637093665478</v>
      </c>
    </row>
    <row r="17" spans="1:9" ht="16.5" x14ac:dyDescent="0.3">
      <c r="A17" s="1645">
        <v>14</v>
      </c>
      <c r="B17" s="1642" t="s">
        <v>164</v>
      </c>
      <c r="C17" s="1647">
        <v>80.684607062624664</v>
      </c>
      <c r="D17" s="1647">
        <v>69.266882208232644</v>
      </c>
      <c r="E17" s="1647">
        <v>73.902206939354869</v>
      </c>
      <c r="F17" s="1648">
        <v>78.891971821530703</v>
      </c>
      <c r="G17" s="1648">
        <v>84.016612808499801</v>
      </c>
      <c r="H17" s="1652">
        <v>1.7798417287671231</v>
      </c>
    </row>
    <row r="18" spans="1:9" ht="16.5" x14ac:dyDescent="0.3">
      <c r="A18" s="1645">
        <v>15</v>
      </c>
      <c r="B18" s="1642" t="s">
        <v>166</v>
      </c>
      <c r="C18" s="1647">
        <v>70.441194442144692</v>
      </c>
      <c r="D18" s="1647">
        <v>71.987314692794882</v>
      </c>
      <c r="E18" s="1647">
        <v>74.319622540893008</v>
      </c>
      <c r="F18" s="1648">
        <v>75.465537723528811</v>
      </c>
      <c r="G18" s="1648">
        <v>76.263981381626451</v>
      </c>
      <c r="H18" s="1652">
        <v>1.7595812167709395</v>
      </c>
    </row>
    <row r="19" spans="1:9" ht="16.5" x14ac:dyDescent="0.3">
      <c r="A19" s="1645">
        <v>16</v>
      </c>
      <c r="B19" s="1642" t="s">
        <v>179</v>
      </c>
      <c r="C19" s="1647">
        <v>37.579203193635088</v>
      </c>
      <c r="D19" s="1647">
        <v>45.359361634747721</v>
      </c>
      <c r="E19" s="1647">
        <v>51.188915221032772</v>
      </c>
      <c r="F19" s="1648">
        <v>58.720024335309532</v>
      </c>
      <c r="G19" s="1648">
        <v>68.915751703841039</v>
      </c>
      <c r="H19" s="1652">
        <v>1.5168377830932447</v>
      </c>
    </row>
    <row r="20" spans="1:9" ht="16.5" x14ac:dyDescent="0.3">
      <c r="A20" s="1645">
        <v>17</v>
      </c>
      <c r="B20" s="1642" t="s">
        <v>163</v>
      </c>
      <c r="C20" s="1647">
        <v>58.755851746482882</v>
      </c>
      <c r="D20" s="1647">
        <v>51.850928023189852</v>
      </c>
      <c r="E20" s="1647">
        <v>57.931333426896209</v>
      </c>
      <c r="F20" s="1648">
        <v>55.723175835828343</v>
      </c>
      <c r="G20" s="1648">
        <v>66.06104599601511</v>
      </c>
      <c r="H20" s="1652">
        <v>1.4267151665689513</v>
      </c>
    </row>
    <row r="21" spans="1:9" ht="16.5" x14ac:dyDescent="0.3">
      <c r="A21" s="1645">
        <v>18</v>
      </c>
      <c r="B21" s="1642" t="s">
        <v>167</v>
      </c>
      <c r="C21" s="1647">
        <v>58.2</v>
      </c>
      <c r="D21" s="1647">
        <v>62.066000000000003</v>
      </c>
      <c r="E21" s="1647">
        <v>63.006</v>
      </c>
      <c r="F21" s="1648">
        <v>63.556000000000004</v>
      </c>
      <c r="G21" s="1648">
        <v>65.410747363419787</v>
      </c>
      <c r="H21" s="1652">
        <v>1.3995543068493148</v>
      </c>
    </row>
    <row r="22" spans="1:9" ht="16.5" x14ac:dyDescent="0.3">
      <c r="A22" s="1645">
        <v>19</v>
      </c>
      <c r="B22" s="1642" t="s">
        <v>159</v>
      </c>
      <c r="C22" s="1647">
        <v>33.111664664038159</v>
      </c>
      <c r="D22" s="1647">
        <v>40.197425334562993</v>
      </c>
      <c r="E22" s="1647">
        <v>44.732963655738132</v>
      </c>
      <c r="F22" s="1648">
        <v>50.632326889240161</v>
      </c>
      <c r="G22" s="1648">
        <v>57.261606959981918</v>
      </c>
      <c r="H22" s="1652">
        <v>1.1043303896569463</v>
      </c>
    </row>
    <row r="23" spans="1:9" ht="16.5" x14ac:dyDescent="0.3">
      <c r="A23" s="1645">
        <v>20</v>
      </c>
      <c r="B23" s="1642" t="s">
        <v>168</v>
      </c>
      <c r="C23" s="1647">
        <v>57.282642575439624</v>
      </c>
      <c r="D23" s="1647">
        <v>57.73511298967977</v>
      </c>
      <c r="E23" s="1647">
        <v>56.077997970282411</v>
      </c>
      <c r="F23" s="1648">
        <v>57.578176924486165</v>
      </c>
      <c r="G23" s="1648">
        <v>53.017744766034369</v>
      </c>
      <c r="H23" s="1652">
        <v>1.0979888440370547</v>
      </c>
    </row>
    <row r="24" spans="1:9" ht="16.5" x14ac:dyDescent="0.3">
      <c r="A24" s="1645">
        <v>21</v>
      </c>
      <c r="B24" s="1642" t="s">
        <v>171</v>
      </c>
      <c r="C24" s="1647">
        <v>46.824544837055875</v>
      </c>
      <c r="D24" s="1647">
        <v>51.447426417179216</v>
      </c>
      <c r="E24" s="1647">
        <v>50.575063203308439</v>
      </c>
      <c r="F24" s="1648">
        <v>47.934985838363986</v>
      </c>
      <c r="G24" s="1648">
        <v>48.125228459134426</v>
      </c>
      <c r="H24" s="1652">
        <v>1.0020668493150686</v>
      </c>
    </row>
    <row r="25" spans="1:9" ht="16.5" x14ac:dyDescent="0.3">
      <c r="A25" s="1645">
        <v>22</v>
      </c>
      <c r="B25" s="1642" t="s">
        <v>191</v>
      </c>
      <c r="C25" s="1647">
        <v>38.783549783549788</v>
      </c>
      <c r="D25" s="1647">
        <v>39.729754617604634</v>
      </c>
      <c r="E25" s="1647">
        <v>41.041877877344888</v>
      </c>
      <c r="F25" s="1648">
        <v>40.808890318903323</v>
      </c>
      <c r="G25" s="1648">
        <v>39.424353939583696</v>
      </c>
      <c r="H25" s="1652">
        <v>0.74852266520908217</v>
      </c>
    </row>
    <row r="26" spans="1:9" s="376" customFormat="1" ht="16.5" x14ac:dyDescent="0.3">
      <c r="A26" s="1645">
        <v>23</v>
      </c>
      <c r="B26" s="1642" t="s">
        <v>193</v>
      </c>
      <c r="C26" s="1647">
        <v>5.8219645293315141</v>
      </c>
      <c r="D26" s="1647">
        <v>13.834924965893588</v>
      </c>
      <c r="E26" s="1647">
        <v>19.478990450204638</v>
      </c>
      <c r="F26" s="1648">
        <v>30.754993178717598</v>
      </c>
      <c r="G26" s="1648">
        <v>35.64174624829468</v>
      </c>
      <c r="H26" s="1652">
        <v>0.71921603196337947</v>
      </c>
      <c r="I26" s="375"/>
    </row>
    <row r="27" spans="1:9" ht="16.5" x14ac:dyDescent="0.3">
      <c r="A27" s="2048">
        <v>24</v>
      </c>
      <c r="B27" s="1643" t="s">
        <v>132</v>
      </c>
      <c r="C27" s="1649">
        <v>33.999499999999998</v>
      </c>
      <c r="D27" s="1649">
        <v>33.022940000000006</v>
      </c>
      <c r="E27" s="1649">
        <v>32.552416228294149</v>
      </c>
      <c r="F27" s="1650">
        <v>32.406477747644999</v>
      </c>
      <c r="G27" s="1650">
        <v>31.871752802377131</v>
      </c>
      <c r="H27" s="1651">
        <v>0.71576438356164396</v>
      </c>
      <c r="I27" s="375" t="s">
        <v>2230</v>
      </c>
    </row>
    <row r="28" spans="1:9" ht="16.5" x14ac:dyDescent="0.3">
      <c r="A28" s="1645">
        <v>25</v>
      </c>
      <c r="B28" s="1642" t="s">
        <v>144</v>
      </c>
      <c r="C28" s="1647">
        <v>40.863710000000005</v>
      </c>
      <c r="D28" s="1647">
        <v>37.752199999999995</v>
      </c>
      <c r="E28" s="1647">
        <v>33.445840000000004</v>
      </c>
      <c r="F28" s="1648">
        <v>30.387610000000002</v>
      </c>
      <c r="G28" s="1648">
        <v>31.179911580072812</v>
      </c>
      <c r="H28" s="1652">
        <v>0.66942260001135379</v>
      </c>
    </row>
    <row r="29" spans="1:9" ht="16.5" x14ac:dyDescent="0.3">
      <c r="A29" s="1645">
        <v>26</v>
      </c>
      <c r="B29" s="1642" t="s">
        <v>145</v>
      </c>
      <c r="C29" s="1647">
        <v>33.728792966727482</v>
      </c>
      <c r="D29" s="1647">
        <v>31.470976241446927</v>
      </c>
      <c r="E29" s="1647">
        <v>31.094158086749133</v>
      </c>
      <c r="F29" s="1648">
        <v>29.890881563195737</v>
      </c>
      <c r="G29" s="1648">
        <v>29.939754834636993</v>
      </c>
      <c r="H29" s="1652">
        <v>0.61410745977386383</v>
      </c>
    </row>
    <row r="30" spans="1:9" ht="16.5" x14ac:dyDescent="0.3">
      <c r="A30" s="1645">
        <v>27</v>
      </c>
      <c r="B30" s="1642" t="s">
        <v>170</v>
      </c>
      <c r="C30" s="1647">
        <v>34.625700000000002</v>
      </c>
      <c r="D30" s="1647">
        <v>32.691400000000002</v>
      </c>
      <c r="E30" s="1647">
        <v>30.258399999999998</v>
      </c>
      <c r="F30" s="1648">
        <v>29.170000000000005</v>
      </c>
      <c r="G30" s="1648">
        <v>27.788599999999999</v>
      </c>
      <c r="H30" s="1652">
        <v>0.57237038628124304</v>
      </c>
    </row>
    <row r="31" spans="1:9" ht="16.5" x14ac:dyDescent="0.3">
      <c r="A31" s="1645">
        <v>28</v>
      </c>
      <c r="B31" s="1642" t="s">
        <v>175</v>
      </c>
      <c r="C31" s="1647">
        <v>29.6013632917264</v>
      </c>
      <c r="D31" s="1647">
        <v>29.840232507656349</v>
      </c>
      <c r="E31" s="1647">
        <v>29.693945895520372</v>
      </c>
      <c r="F31" s="1648">
        <v>28.398870640666726</v>
      </c>
      <c r="G31" s="1648">
        <v>26.474729999978479</v>
      </c>
      <c r="H31" s="1652">
        <v>0.54409436044675774</v>
      </c>
    </row>
    <row r="32" spans="1:9" ht="16.5" x14ac:dyDescent="0.3">
      <c r="A32" s="1645">
        <v>29</v>
      </c>
      <c r="B32" s="1642" t="s">
        <v>178</v>
      </c>
      <c r="C32" s="1647">
        <v>26.236013926264093</v>
      </c>
      <c r="D32" s="1647">
        <v>25.777716834726583</v>
      </c>
      <c r="E32" s="1647">
        <v>24.964074531113937</v>
      </c>
      <c r="F32" s="1648">
        <v>24.507892556304746</v>
      </c>
      <c r="G32" s="1648">
        <v>24.40323581136564</v>
      </c>
      <c r="H32" s="1652">
        <v>0.53971296059135654</v>
      </c>
    </row>
    <row r="33" spans="1:14" ht="16.5" x14ac:dyDescent="0.3">
      <c r="A33" s="1645">
        <v>30</v>
      </c>
      <c r="B33" s="1642" t="s">
        <v>192</v>
      </c>
      <c r="C33" s="1647">
        <v>25.345319622173278</v>
      </c>
      <c r="D33" s="1647">
        <v>25.778721585903089</v>
      </c>
      <c r="E33" s="1647">
        <v>25.473589251835538</v>
      </c>
      <c r="F33" s="1648">
        <v>25.543876245227604</v>
      </c>
      <c r="G33" s="1648">
        <v>23.617382535095444</v>
      </c>
      <c r="H33" s="1652">
        <v>0.44064212346301362</v>
      </c>
    </row>
    <row r="34" spans="1:14" ht="16.5" x14ac:dyDescent="0.3">
      <c r="A34" s="1645"/>
      <c r="B34" s="1643" t="s">
        <v>147</v>
      </c>
      <c r="C34" s="1654">
        <f>+SUM(C4:C33)</f>
        <v>4053.4762583083489</v>
      </c>
      <c r="D34" s="1654">
        <f>+SUM(D4:D33)</f>
        <v>4256.5434757615049</v>
      </c>
      <c r="E34" s="1654">
        <f>+SUM(E4:E33)</f>
        <v>4346.4257348974861</v>
      </c>
      <c r="F34" s="1654">
        <f>+SUM(F4:F33)</f>
        <v>4381.7906483894631</v>
      </c>
      <c r="G34" s="1654">
        <f>+SUM(G4:G33)</f>
        <v>4525.6890997201617</v>
      </c>
      <c r="H34" s="1651">
        <f>SUM(H4:H33)</f>
        <v>96.823768862829922</v>
      </c>
    </row>
    <row r="35" spans="1:14" ht="16.5" x14ac:dyDescent="0.3">
      <c r="A35" s="1645"/>
      <c r="B35" s="1642" t="s">
        <v>148</v>
      </c>
      <c r="C35" s="1653">
        <f>C36-C34</f>
        <v>188.31589818458497</v>
      </c>
      <c r="D35" s="1653">
        <f>D36-D34</f>
        <v>178.27757863680199</v>
      </c>
      <c r="E35" s="1653">
        <f>E36-E34</f>
        <v>174.91525316122352</v>
      </c>
      <c r="F35" s="1653">
        <f>F36-F34</f>
        <v>173.41794063793986</v>
      </c>
      <c r="G35" s="1653">
        <f>G36-G34</f>
        <v>175.3931086366556</v>
      </c>
      <c r="H35" s="1652">
        <v>3.7680515220204782</v>
      </c>
    </row>
    <row r="36" spans="1:14" ht="16.5" x14ac:dyDescent="0.3">
      <c r="A36" s="1645"/>
      <c r="B36" s="1643" t="s">
        <v>146</v>
      </c>
      <c r="C36" s="2049">
        <v>4241.7921564929338</v>
      </c>
      <c r="D36" s="2049">
        <v>4434.8210543983068</v>
      </c>
      <c r="E36" s="2049">
        <v>4521.3409880587096</v>
      </c>
      <c r="F36" s="2050">
        <v>4555.2085890274029</v>
      </c>
      <c r="G36" s="2050">
        <v>4701.0822083568173</v>
      </c>
      <c r="H36" s="2051">
        <v>100.58955408398654</v>
      </c>
      <c r="L36" s="960"/>
    </row>
    <row r="37" spans="1:14" ht="16.5" x14ac:dyDescent="0.3">
      <c r="A37" s="1645"/>
      <c r="B37" s="1642" t="s">
        <v>180</v>
      </c>
      <c r="C37" s="2052">
        <v>1292.4710741070421</v>
      </c>
      <c r="D37" s="2052">
        <v>1340.1209103728313</v>
      </c>
      <c r="E37" s="2052">
        <v>1413.41858913276</v>
      </c>
      <c r="F37" s="2053">
        <v>1449.4906514289821</v>
      </c>
      <c r="G37" s="2053">
        <v>1483.1384738921388</v>
      </c>
      <c r="H37" s="2054">
        <v>33.237078645610254</v>
      </c>
      <c r="N37" s="961"/>
    </row>
    <row r="38" spans="1:14" ht="16.5" x14ac:dyDescent="0.3">
      <c r="A38" s="1645"/>
      <c r="B38" s="1646" t="s">
        <v>181</v>
      </c>
      <c r="C38" s="2052">
        <v>2949.3210823858922</v>
      </c>
      <c r="D38" s="2052">
        <v>3094.7001440254767</v>
      </c>
      <c r="E38" s="2052">
        <v>3107.9223989259508</v>
      </c>
      <c r="F38" s="2053">
        <v>3105.7179375984215</v>
      </c>
      <c r="G38" s="2053">
        <v>3217.943734464679</v>
      </c>
      <c r="H38" s="2054">
        <v>67.352475438376288</v>
      </c>
      <c r="N38" s="961"/>
    </row>
    <row r="39" spans="1:14" ht="16.5" x14ac:dyDescent="0.3">
      <c r="A39" s="1645"/>
      <c r="B39" s="1646" t="s">
        <v>182</v>
      </c>
      <c r="C39" s="2052">
        <v>1445.9627506998816</v>
      </c>
      <c r="D39" s="2052">
        <v>1560.9283684695517</v>
      </c>
      <c r="E39" s="2052">
        <v>1546.6177859281524</v>
      </c>
      <c r="F39" s="2053">
        <v>1547.4062235972713</v>
      </c>
      <c r="G39" s="2053">
        <v>1618.1216516259851</v>
      </c>
      <c r="H39" s="2054">
        <v>34.379300479676395</v>
      </c>
      <c r="N39" s="961"/>
    </row>
    <row r="40" spans="1:14" ht="16.5" x14ac:dyDescent="0.3">
      <c r="A40" s="1645"/>
      <c r="B40" s="1646" t="s">
        <v>183</v>
      </c>
      <c r="C40" s="2052">
        <v>2795.8294057930539</v>
      </c>
      <c r="D40" s="2052">
        <v>2873.8926859287562</v>
      </c>
      <c r="E40" s="2052">
        <v>2974.7232021305595</v>
      </c>
      <c r="F40" s="2053">
        <v>3007.8023654301332</v>
      </c>
      <c r="G40" s="2053">
        <v>3082.9605567308326</v>
      </c>
      <c r="H40" s="2054">
        <v>66.210253604310125</v>
      </c>
      <c r="N40" s="961"/>
    </row>
    <row r="41" spans="1:14" ht="16.5" x14ac:dyDescent="0.3">
      <c r="A41" s="1645"/>
      <c r="B41" s="1646" t="s">
        <v>194</v>
      </c>
      <c r="C41" s="2052">
        <v>18.090139655000005</v>
      </c>
      <c r="D41" s="2052">
        <v>16.749937045000003</v>
      </c>
      <c r="E41" s="2052">
        <v>15.936423673761983</v>
      </c>
      <c r="F41" s="2053">
        <v>16.05579247528015</v>
      </c>
      <c r="G41" s="2053">
        <v>15.79886288937746</v>
      </c>
      <c r="H41" s="2054">
        <v>0.32447540293208232</v>
      </c>
      <c r="N41" s="961"/>
    </row>
    <row r="42" spans="1:14" ht="18" customHeight="1" x14ac:dyDescent="0.2">
      <c r="A42" s="2674" t="s">
        <v>2901</v>
      </c>
      <c r="B42" s="2674"/>
      <c r="C42" s="2674"/>
      <c r="D42" s="2674"/>
      <c r="E42" s="2674"/>
      <c r="F42" s="2674"/>
      <c r="G42" s="2674"/>
      <c r="H42" s="2674"/>
    </row>
    <row r="43" spans="1:14" ht="30" customHeight="1" x14ac:dyDescent="0.2">
      <c r="A43" s="2673" t="s">
        <v>195</v>
      </c>
      <c r="B43" s="2673"/>
      <c r="C43" s="2673"/>
      <c r="D43" s="2673"/>
      <c r="E43" s="2673"/>
      <c r="F43" s="2673"/>
      <c r="G43" s="2673"/>
      <c r="H43" s="2673"/>
    </row>
    <row r="44" spans="1:14" ht="41.25" customHeight="1" x14ac:dyDescent="0.2">
      <c r="A44" s="2673" t="s">
        <v>196</v>
      </c>
      <c r="B44" s="2673"/>
      <c r="C44" s="2673"/>
      <c r="D44" s="2673"/>
      <c r="E44" s="2673"/>
      <c r="F44" s="2673"/>
      <c r="G44" s="2673"/>
      <c r="H44" s="2673"/>
    </row>
    <row r="45" spans="1:14" ht="24" customHeight="1" x14ac:dyDescent="0.2">
      <c r="A45" s="2673" t="s">
        <v>2637</v>
      </c>
      <c r="B45" s="2674"/>
      <c r="C45" s="2674"/>
      <c r="D45" s="2674"/>
      <c r="E45" s="2674"/>
      <c r="F45" s="2674"/>
      <c r="G45" s="2674"/>
      <c r="H45" s="2674"/>
    </row>
    <row r="64" ht="1.5" customHeight="1" x14ac:dyDescent="0.25"/>
  </sheetData>
  <mergeCells count="8">
    <mergeCell ref="A45:H45"/>
    <mergeCell ref="A1:H1"/>
    <mergeCell ref="A42:H42"/>
    <mergeCell ref="A43:H43"/>
    <mergeCell ref="A44:H44"/>
    <mergeCell ref="C2:G2"/>
    <mergeCell ref="B2:B3"/>
    <mergeCell ref="A2:A3"/>
  </mergeCells>
  <pageMargins left="0.70866141732283472" right="0.70866141732283472" top="0.74803149606299213" bottom="0.74803149606299213" header="0.31496062992125984" footer="0.31496062992125984"/>
  <pageSetup paperSize="9" scale="92" orientation="portrait" horizontalDpi="300" verticalDpi="300"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0CBF626-AC88-4B44-A51B-12B6BC2F7BCF}">
  <sheetPr>
    <tabColor theme="0"/>
    <pageSetUpPr fitToPage="1"/>
  </sheetPr>
  <dimension ref="A1:H64"/>
  <sheetViews>
    <sheetView showGridLines="0" view="pageLayout" topLeftCell="A33" zoomScaleNormal="80" workbookViewId="0">
      <selection activeCell="B81" sqref="B81"/>
    </sheetView>
  </sheetViews>
  <sheetFormatPr defaultColWidth="9.140625" defaultRowHeight="15.75" x14ac:dyDescent="0.25"/>
  <cols>
    <col min="1" max="1" width="8.42578125" style="1644" customWidth="1"/>
    <col min="2" max="2" width="27.5703125" style="375" customWidth="1"/>
    <col min="3" max="3" width="16.42578125" style="375" customWidth="1"/>
    <col min="4" max="4" width="16.140625" style="375" customWidth="1"/>
    <col min="5" max="5" width="16.28515625" style="375" customWidth="1"/>
    <col min="6" max="6" width="20.140625" style="375" customWidth="1"/>
    <col min="7" max="7" width="15.85546875" style="377" customWidth="1"/>
    <col min="8" max="8" width="20" style="377" customWidth="1"/>
    <col min="9" max="16384" width="9.140625" style="375"/>
  </cols>
  <sheetData>
    <row r="1" spans="1:8" ht="20.25" customHeight="1" x14ac:dyDescent="0.2">
      <c r="A1" s="2643" t="s">
        <v>2603</v>
      </c>
      <c r="B1" s="2644"/>
      <c r="C1" s="2644"/>
      <c r="D1" s="2644"/>
      <c r="E1" s="2644"/>
      <c r="F1" s="2644"/>
      <c r="G1" s="2644"/>
      <c r="H1" s="2645"/>
    </row>
    <row r="2" spans="1:8" ht="15" customHeight="1" x14ac:dyDescent="0.2">
      <c r="A2" s="2692" t="s">
        <v>198</v>
      </c>
      <c r="B2" s="2690" t="s">
        <v>116</v>
      </c>
      <c r="C2" s="2689" t="s">
        <v>189</v>
      </c>
      <c r="D2" s="2689"/>
      <c r="E2" s="2689"/>
      <c r="F2" s="2689"/>
      <c r="G2" s="2689"/>
      <c r="H2" s="2694" t="s">
        <v>2931</v>
      </c>
    </row>
    <row r="3" spans="1:8" ht="31.5" customHeight="1" x14ac:dyDescent="0.2">
      <c r="A3" s="2693"/>
      <c r="B3" s="2691"/>
      <c r="C3" s="1661">
        <v>2021</v>
      </c>
      <c r="D3" s="1661">
        <v>2022</v>
      </c>
      <c r="E3" s="1661">
        <v>2023</v>
      </c>
      <c r="F3" s="1661">
        <v>2024</v>
      </c>
      <c r="G3" s="1661">
        <v>2025</v>
      </c>
      <c r="H3" s="2695"/>
    </row>
    <row r="4" spans="1:8" ht="18.75" x14ac:dyDescent="0.2">
      <c r="A4" s="2106">
        <v>1</v>
      </c>
      <c r="B4" s="2107" t="s">
        <v>129</v>
      </c>
      <c r="C4" s="2104">
        <v>808.12891626807709</v>
      </c>
      <c r="D4" s="2104">
        <v>813.33441532361132</v>
      </c>
      <c r="E4" s="2104">
        <v>815.99999317350148</v>
      </c>
      <c r="F4" s="2104">
        <v>819.09754146717069</v>
      </c>
      <c r="G4" s="2099">
        <v>827.00900665423001</v>
      </c>
      <c r="H4" s="2100">
        <v>19.403789298630137</v>
      </c>
    </row>
    <row r="5" spans="1:8" ht="18.75" x14ac:dyDescent="0.2">
      <c r="A5" s="2106">
        <v>2</v>
      </c>
      <c r="B5" s="2107" t="s">
        <v>125</v>
      </c>
      <c r="C5" s="2104">
        <v>688.89470000000006</v>
      </c>
      <c r="D5" s="2104">
        <v>700.2201</v>
      </c>
      <c r="E5" s="2104">
        <v>769.07289999999989</v>
      </c>
      <c r="F5" s="2104">
        <v>772.54980687759394</v>
      </c>
      <c r="G5" s="2099">
        <v>793.03031252169421</v>
      </c>
      <c r="H5" s="2100">
        <v>17.360416345036182</v>
      </c>
    </row>
    <row r="6" spans="1:8" ht="18.75" x14ac:dyDescent="0.2">
      <c r="A6" s="2108">
        <v>3</v>
      </c>
      <c r="B6" s="2056" t="s">
        <v>132</v>
      </c>
      <c r="C6" s="2105">
        <v>218.28770048847912</v>
      </c>
      <c r="D6" s="2105">
        <v>237.96069412392305</v>
      </c>
      <c r="E6" s="2105">
        <v>249.4740024780412</v>
      </c>
      <c r="F6" s="2105">
        <v>257.17229123629477</v>
      </c>
      <c r="G6" s="2116">
        <v>256.47376836299082</v>
      </c>
      <c r="H6" s="2102">
        <v>5.6421061993618293</v>
      </c>
    </row>
    <row r="7" spans="1:8" ht="18.75" x14ac:dyDescent="0.2">
      <c r="A7" s="2106">
        <v>4</v>
      </c>
      <c r="B7" s="2107" t="s">
        <v>142</v>
      </c>
      <c r="C7" s="1637">
        <v>153.30016603098471</v>
      </c>
      <c r="D7" s="1637">
        <v>164.00152660141046</v>
      </c>
      <c r="E7" s="1637">
        <v>167.23457190478121</v>
      </c>
      <c r="F7" s="1637">
        <v>170.31815428552653</v>
      </c>
      <c r="G7" s="2101">
        <v>165.79982300576592</v>
      </c>
      <c r="H7" s="2100">
        <v>3.8617961490243444</v>
      </c>
    </row>
    <row r="8" spans="1:8" ht="18.75" x14ac:dyDescent="0.2">
      <c r="A8" s="2106">
        <v>5</v>
      </c>
      <c r="B8" s="2107" t="s">
        <v>134</v>
      </c>
      <c r="C8" s="1637">
        <v>159.16570393639307</v>
      </c>
      <c r="D8" s="1637">
        <v>163.36022584818738</v>
      </c>
      <c r="E8" s="1637">
        <v>165.34530858091853</v>
      </c>
      <c r="F8" s="1637">
        <v>164.5337823766026</v>
      </c>
      <c r="G8" s="2101">
        <v>164.25074497116952</v>
      </c>
      <c r="H8" s="2100">
        <v>3.6398092153822512</v>
      </c>
    </row>
    <row r="9" spans="1:8" ht="18.75" x14ac:dyDescent="0.2">
      <c r="A9" s="2106">
        <v>6</v>
      </c>
      <c r="B9" s="2107" t="s">
        <v>139</v>
      </c>
      <c r="C9" s="1637">
        <v>162.33707978740117</v>
      </c>
      <c r="D9" s="1637">
        <v>162.42113908814835</v>
      </c>
      <c r="E9" s="1637">
        <v>158.91533081559194</v>
      </c>
      <c r="F9" s="1637">
        <v>151.89583758680828</v>
      </c>
      <c r="G9" s="2101">
        <v>149.40962952350608</v>
      </c>
      <c r="H9" s="2100">
        <v>3.3143168360815385</v>
      </c>
    </row>
    <row r="10" spans="1:8" ht="18.75" x14ac:dyDescent="0.2">
      <c r="A10" s="2106">
        <v>7</v>
      </c>
      <c r="B10" s="2107" t="s">
        <v>135</v>
      </c>
      <c r="C10" s="1637">
        <v>122.13769750750753</v>
      </c>
      <c r="D10" s="1637">
        <v>123.66080377986427</v>
      </c>
      <c r="E10" s="1637">
        <v>121.37149387811685</v>
      </c>
      <c r="F10" s="1637">
        <v>125.96632432090775</v>
      </c>
      <c r="G10" s="2101">
        <v>122.67273001903453</v>
      </c>
      <c r="H10" s="2100">
        <v>2.8326524857827424</v>
      </c>
    </row>
    <row r="11" spans="1:8" ht="18.75" x14ac:dyDescent="0.2">
      <c r="A11" s="2106">
        <v>8</v>
      </c>
      <c r="B11" s="2107" t="s">
        <v>138</v>
      </c>
      <c r="C11" s="1637">
        <v>111.74114024119922</v>
      </c>
      <c r="D11" s="1637">
        <v>115.87727862693829</v>
      </c>
      <c r="E11" s="1637">
        <v>118.85523724795941</v>
      </c>
      <c r="F11" s="1637">
        <v>119.01353469311968</v>
      </c>
      <c r="G11" s="2101">
        <v>119.96461153918516</v>
      </c>
      <c r="H11" s="2100">
        <v>2.6096903438785963</v>
      </c>
    </row>
    <row r="12" spans="1:8" ht="18.75" x14ac:dyDescent="0.2">
      <c r="A12" s="2106">
        <v>9</v>
      </c>
      <c r="B12" s="2107" t="s">
        <v>136</v>
      </c>
      <c r="C12" s="1637">
        <v>94.389159411895704</v>
      </c>
      <c r="D12" s="1637">
        <v>98.313363602975897</v>
      </c>
      <c r="E12" s="1637">
        <v>99.096872972062855</v>
      </c>
      <c r="F12" s="1637">
        <v>100.23812828971568</v>
      </c>
      <c r="G12" s="2101">
        <v>101.04018405972624</v>
      </c>
      <c r="H12" s="2100">
        <v>2.3934458705916981</v>
      </c>
    </row>
    <row r="13" spans="1:8" ht="18.75" x14ac:dyDescent="0.2">
      <c r="A13" s="2106">
        <v>10</v>
      </c>
      <c r="B13" s="2107" t="s">
        <v>137</v>
      </c>
      <c r="C13" s="1637">
        <v>99.82590399</v>
      </c>
      <c r="D13" s="1637">
        <v>102.56204464999999</v>
      </c>
      <c r="E13" s="1637">
        <v>96.160102000000009</v>
      </c>
      <c r="F13" s="1637">
        <v>96.877229000000014</v>
      </c>
      <c r="G13" s="2101">
        <v>96.218488202228016</v>
      </c>
      <c r="H13" s="2100">
        <v>2.0391206400018338</v>
      </c>
    </row>
    <row r="14" spans="1:8" ht="18.75" x14ac:dyDescent="0.2">
      <c r="A14" s="2106">
        <v>11</v>
      </c>
      <c r="B14" s="2107" t="s">
        <v>141</v>
      </c>
      <c r="C14" s="1637">
        <v>82.739301956145525</v>
      </c>
      <c r="D14" s="1637">
        <v>84.676979720908719</v>
      </c>
      <c r="E14" s="1637">
        <v>86.059309217925843</v>
      </c>
      <c r="F14" s="1637">
        <v>87.632466808618148</v>
      </c>
      <c r="G14" s="2101">
        <v>88.116806838911089</v>
      </c>
      <c r="H14" s="2100">
        <v>2.0076593447236806</v>
      </c>
    </row>
    <row r="15" spans="1:8" ht="18.75" x14ac:dyDescent="0.2">
      <c r="A15" s="2106">
        <v>12</v>
      </c>
      <c r="B15" s="2107" t="s">
        <v>140</v>
      </c>
      <c r="C15" s="1637">
        <v>75.611832062427524</v>
      </c>
      <c r="D15" s="1637">
        <v>82.10034678419477</v>
      </c>
      <c r="E15" s="1637">
        <v>80.522806290071443</v>
      </c>
      <c r="F15" s="1637">
        <v>80.303564937572418</v>
      </c>
      <c r="G15" s="2101">
        <v>80.878261821947007</v>
      </c>
      <c r="H15" s="2100">
        <v>1.7888744249773774</v>
      </c>
    </row>
    <row r="16" spans="1:8" ht="18.75" x14ac:dyDescent="0.2">
      <c r="A16" s="2106">
        <v>13</v>
      </c>
      <c r="B16" s="2107" t="s">
        <v>145</v>
      </c>
      <c r="C16" s="1637">
        <v>66.693081611699483</v>
      </c>
      <c r="D16" s="1637">
        <v>65.572942832916425</v>
      </c>
      <c r="E16" s="1637">
        <v>70.964016662205552</v>
      </c>
      <c r="F16" s="1637">
        <v>74.806375867623046</v>
      </c>
      <c r="G16" s="2101">
        <v>74.865328355535482</v>
      </c>
      <c r="H16" s="2100">
        <v>1.6986802573328639</v>
      </c>
    </row>
    <row r="17" spans="1:8" ht="18.75" x14ac:dyDescent="0.2">
      <c r="A17" s="2106">
        <v>14</v>
      </c>
      <c r="B17" s="2107" t="s">
        <v>199</v>
      </c>
      <c r="C17" s="1637">
        <v>64.321401018752738</v>
      </c>
      <c r="D17" s="1637">
        <v>70.232204896808142</v>
      </c>
      <c r="E17" s="1637">
        <v>69.889659356257326</v>
      </c>
      <c r="F17" s="1637">
        <v>71.606444462034347</v>
      </c>
      <c r="G17" s="2101">
        <v>74.427839677512708</v>
      </c>
      <c r="H17" s="2100">
        <v>1.4827375958054938</v>
      </c>
    </row>
    <row r="18" spans="1:8" ht="18.75" x14ac:dyDescent="0.2">
      <c r="A18" s="2106">
        <v>15</v>
      </c>
      <c r="B18" s="2107" t="s">
        <v>143</v>
      </c>
      <c r="C18" s="1637">
        <v>65.432414728600008</v>
      </c>
      <c r="D18" s="1637">
        <v>65.344694856500013</v>
      </c>
      <c r="E18" s="1637">
        <v>64.271168246143532</v>
      </c>
      <c r="F18" s="1637">
        <v>64.18316348343086</v>
      </c>
      <c r="G18" s="2101">
        <v>63.441320027743515</v>
      </c>
      <c r="H18" s="2100">
        <v>1.3521119000253998</v>
      </c>
    </row>
    <row r="19" spans="1:8" ht="18.75" x14ac:dyDescent="0.2">
      <c r="A19" s="2106">
        <v>16</v>
      </c>
      <c r="B19" s="2107" t="s">
        <v>144</v>
      </c>
      <c r="C19" s="1637">
        <v>56.196734920944102</v>
      </c>
      <c r="D19" s="1637">
        <v>59.986617261593878</v>
      </c>
      <c r="E19" s="1637">
        <v>61.07478072641387</v>
      </c>
      <c r="F19" s="1637">
        <v>61.981335890000011</v>
      </c>
      <c r="G19" s="2101">
        <v>62.097120140100756</v>
      </c>
      <c r="H19" s="2100">
        <v>1.3397615305544128</v>
      </c>
    </row>
    <row r="20" spans="1:8" ht="18.75" x14ac:dyDescent="0.2">
      <c r="A20" s="2106">
        <v>17</v>
      </c>
      <c r="B20" s="2107" t="s">
        <v>200</v>
      </c>
      <c r="C20" s="1637">
        <v>54.97298049500948</v>
      </c>
      <c r="D20" s="1637">
        <v>60.944353317429744</v>
      </c>
      <c r="E20" s="1637">
        <v>58.406953315378125</v>
      </c>
      <c r="F20" s="1637">
        <v>61.786105458795113</v>
      </c>
      <c r="G20" s="2101">
        <v>61.787818027448331</v>
      </c>
      <c r="H20" s="2100">
        <v>1.2683275146527009</v>
      </c>
    </row>
    <row r="21" spans="1:8" ht="18.75" x14ac:dyDescent="0.2">
      <c r="A21" s="2106">
        <v>18</v>
      </c>
      <c r="B21" s="2107" t="s">
        <v>203</v>
      </c>
      <c r="C21" s="1637">
        <v>49.575853639999998</v>
      </c>
      <c r="D21" s="1637">
        <v>51.657384510000007</v>
      </c>
      <c r="E21" s="1637">
        <v>54.759631740000003</v>
      </c>
      <c r="F21" s="1637">
        <v>56.214502882229993</v>
      </c>
      <c r="G21" s="2101">
        <v>58.11558863127788</v>
      </c>
      <c r="H21" s="2100">
        <v>1.2271636081299726</v>
      </c>
    </row>
    <row r="22" spans="1:8" ht="18.75" x14ac:dyDescent="0.2">
      <c r="A22" s="2106">
        <v>19</v>
      </c>
      <c r="B22" s="2107" t="s">
        <v>201</v>
      </c>
      <c r="C22" s="1637">
        <v>53.717257999999987</v>
      </c>
      <c r="D22" s="1637">
        <v>58.512291999999995</v>
      </c>
      <c r="E22" s="1637">
        <v>57.215446000000007</v>
      </c>
      <c r="F22" s="1637">
        <v>58.460724999999996</v>
      </c>
      <c r="G22" s="2101">
        <v>56.173147368568578</v>
      </c>
      <c r="H22" s="2100">
        <v>1.215637941326291</v>
      </c>
    </row>
    <row r="23" spans="1:8" ht="18.75" x14ac:dyDescent="0.2">
      <c r="A23" s="2106">
        <v>20</v>
      </c>
      <c r="B23" s="2107" t="s">
        <v>162</v>
      </c>
      <c r="C23" s="1637">
        <v>47.434197831862484</v>
      </c>
      <c r="D23" s="1637">
        <v>51.237230648945037</v>
      </c>
      <c r="E23" s="1637">
        <v>50.59093192022133</v>
      </c>
      <c r="F23" s="1637">
        <v>52.543347695555916</v>
      </c>
      <c r="G23" s="2101">
        <v>52.419002760974266</v>
      </c>
      <c r="H23" s="2100">
        <v>1.19679915977393</v>
      </c>
    </row>
    <row r="24" spans="1:8" ht="18.75" x14ac:dyDescent="0.2">
      <c r="A24" s="2106">
        <v>21</v>
      </c>
      <c r="B24" s="2107" t="s">
        <v>202</v>
      </c>
      <c r="C24" s="1637">
        <v>44.134072290446539</v>
      </c>
      <c r="D24" s="1637">
        <v>46.849628941715295</v>
      </c>
      <c r="E24" s="1637">
        <v>49.621174542432669</v>
      </c>
      <c r="F24" s="1637">
        <v>51.068127752497887</v>
      </c>
      <c r="G24" s="2101">
        <v>51.192239189981379</v>
      </c>
      <c r="H24" s="2100">
        <v>1.1134170532809584</v>
      </c>
    </row>
    <row r="25" spans="1:8" ht="18.75" x14ac:dyDescent="0.2">
      <c r="A25" s="2106">
        <v>22</v>
      </c>
      <c r="B25" s="2107" t="s">
        <v>204</v>
      </c>
      <c r="C25" s="1637">
        <v>44.747777639024797</v>
      </c>
      <c r="D25" s="1637">
        <v>46.482890148711107</v>
      </c>
      <c r="E25" s="1637">
        <v>45.595896165050291</v>
      </c>
      <c r="F25" s="1637">
        <v>47.401696608252273</v>
      </c>
      <c r="G25" s="2101">
        <v>50.817026984833809</v>
      </c>
      <c r="H25" s="2100">
        <v>1.0935123538499922</v>
      </c>
    </row>
    <row r="26" spans="1:8" ht="18.75" x14ac:dyDescent="0.2">
      <c r="A26" s="2106">
        <v>23</v>
      </c>
      <c r="B26" s="2107" t="s">
        <v>205</v>
      </c>
      <c r="C26" s="1637">
        <v>40.832027023392115</v>
      </c>
      <c r="D26" s="1637">
        <v>44.334040711375373</v>
      </c>
      <c r="E26" s="1637">
        <v>47.27943774282631</v>
      </c>
      <c r="F26" s="1637">
        <v>48.297165330410564</v>
      </c>
      <c r="G26" s="2101">
        <v>48.464379416485215</v>
      </c>
      <c r="H26" s="2100">
        <v>1.0923163002853133</v>
      </c>
    </row>
    <row r="27" spans="1:8" ht="18.75" x14ac:dyDescent="0.2">
      <c r="A27" s="2106">
        <v>24</v>
      </c>
      <c r="B27" s="2107" t="s">
        <v>178</v>
      </c>
      <c r="C27" s="1637">
        <v>34.524821049215568</v>
      </c>
      <c r="D27" s="1637">
        <v>36.540330619333837</v>
      </c>
      <c r="E27" s="1637">
        <v>40.461394584056535</v>
      </c>
      <c r="F27" s="1637">
        <v>40.67024920460274</v>
      </c>
      <c r="G27" s="2101">
        <v>42.998945917992586</v>
      </c>
      <c r="H27" s="2100">
        <v>0.96512522118034016</v>
      </c>
    </row>
    <row r="28" spans="1:8" ht="18.75" x14ac:dyDescent="0.2">
      <c r="A28" s="2106">
        <v>25</v>
      </c>
      <c r="B28" s="2107" t="s">
        <v>160</v>
      </c>
      <c r="C28" s="1637">
        <v>30.160012852805</v>
      </c>
      <c r="D28" s="1637">
        <v>36.458145909697507</v>
      </c>
      <c r="E28" s="1637">
        <v>39.892910313728926</v>
      </c>
      <c r="F28" s="1637">
        <v>41.024660712358788</v>
      </c>
      <c r="G28" s="2101">
        <v>41.925452225906191</v>
      </c>
      <c r="H28" s="2100">
        <v>0.89318970737327641</v>
      </c>
    </row>
    <row r="29" spans="1:8" ht="18.75" x14ac:dyDescent="0.2">
      <c r="A29" s="2106">
        <v>26</v>
      </c>
      <c r="B29" s="2107" t="s">
        <v>207</v>
      </c>
      <c r="C29" s="1637">
        <v>42.459715997157943</v>
      </c>
      <c r="D29" s="1637">
        <v>39.171659107268042</v>
      </c>
      <c r="E29" s="1637">
        <v>36.992136221661667</v>
      </c>
      <c r="F29" s="1637">
        <v>37.187286961231834</v>
      </c>
      <c r="G29" s="2101">
        <v>38.030355832879437</v>
      </c>
      <c r="H29" s="2100">
        <v>0.8570550703855413</v>
      </c>
    </row>
    <row r="30" spans="1:8" ht="18.75" x14ac:dyDescent="0.2">
      <c r="A30" s="2106">
        <v>27</v>
      </c>
      <c r="B30" s="2107" t="s">
        <v>206</v>
      </c>
      <c r="C30" s="1637">
        <v>38.574019000000007</v>
      </c>
      <c r="D30" s="1637">
        <v>37.713335000000001</v>
      </c>
      <c r="E30" s="1637">
        <v>37.816583000000001</v>
      </c>
      <c r="F30" s="1637">
        <v>38.231226999999997</v>
      </c>
      <c r="G30" s="2101">
        <v>37.695015267001843</v>
      </c>
      <c r="H30" s="2100">
        <v>0.83799565553655464</v>
      </c>
    </row>
    <row r="31" spans="1:8" ht="18.75" x14ac:dyDescent="0.2">
      <c r="A31" s="2106">
        <v>28</v>
      </c>
      <c r="B31" s="2107" t="s">
        <v>175</v>
      </c>
      <c r="C31" s="1637">
        <v>29.671999999999997</v>
      </c>
      <c r="D31" s="1637">
        <v>35.2851</v>
      </c>
      <c r="E31" s="1637">
        <v>34.348999999999997</v>
      </c>
      <c r="F31" s="1637">
        <v>36.195</v>
      </c>
      <c r="G31" s="2101">
        <v>36.179546303042301</v>
      </c>
      <c r="H31" s="2100">
        <v>0.77943243056687295</v>
      </c>
    </row>
    <row r="32" spans="1:8" ht="18.75" x14ac:dyDescent="0.2">
      <c r="A32" s="2106">
        <v>29</v>
      </c>
      <c r="B32" s="2107" t="s">
        <v>208</v>
      </c>
      <c r="C32" s="1637">
        <v>30.973209000000001</v>
      </c>
      <c r="D32" s="1637">
        <v>32.24044</v>
      </c>
      <c r="E32" s="1637">
        <v>32.104333000000004</v>
      </c>
      <c r="F32" s="1637">
        <v>32.391371999999997</v>
      </c>
      <c r="G32" s="2101">
        <v>33.461024973167909</v>
      </c>
      <c r="H32" s="2100">
        <v>0.72469401150668755</v>
      </c>
    </row>
    <row r="33" spans="1:8" ht="18.75" x14ac:dyDescent="0.2">
      <c r="A33" s="2106">
        <v>30</v>
      </c>
      <c r="B33" s="2107" t="s">
        <v>2413</v>
      </c>
      <c r="C33" s="1637">
        <v>31.578129775422234</v>
      </c>
      <c r="D33" s="1637">
        <v>32.705468819220883</v>
      </c>
      <c r="E33" s="1637">
        <v>31.905997658337231</v>
      </c>
      <c r="F33" s="1637">
        <v>30.824564540986714</v>
      </c>
      <c r="G33" s="2101">
        <v>32.710099754824682</v>
      </c>
      <c r="H33" s="2100">
        <v>0.70420078987481238</v>
      </c>
    </row>
    <row r="34" spans="1:8" ht="18.75" x14ac:dyDescent="0.2">
      <c r="A34" s="2106"/>
      <c r="B34" s="2056" t="s">
        <v>147</v>
      </c>
      <c r="C34" s="2103">
        <f>SUM(C4:C33)</f>
        <v>3602.5590085548433</v>
      </c>
      <c r="D34" s="2103">
        <f>SUM(D4:D33)</f>
        <v>3719.7576777316785</v>
      </c>
      <c r="E34" s="2103">
        <f>SUM(E4:E33)</f>
        <v>3811.2993797536842</v>
      </c>
      <c r="F34" s="2103">
        <f>SUM(F4:F33)</f>
        <v>3850.4720127299411</v>
      </c>
      <c r="G34" s="2103">
        <f>SUM(G4:G33)</f>
        <v>3881.6656183756654</v>
      </c>
      <c r="H34" s="2102"/>
    </row>
    <row r="35" spans="1:8" ht="18.75" x14ac:dyDescent="0.2">
      <c r="A35" s="2106"/>
      <c r="B35" s="2107" t="s">
        <v>148</v>
      </c>
      <c r="C35" s="1637">
        <f>C36-C34</f>
        <v>683.44969119848292</v>
      </c>
      <c r="D35" s="1637">
        <f>D36-D34</f>
        <v>715.83282958803056</v>
      </c>
      <c r="E35" s="1637">
        <f>E36-E34</f>
        <v>726.03948911963971</v>
      </c>
      <c r="F35" s="1637">
        <f>F36-F34</f>
        <v>736.13103676045512</v>
      </c>
      <c r="G35" s="1637">
        <f>G36-G34</f>
        <v>749.50348657315544</v>
      </c>
      <c r="H35" s="2100"/>
    </row>
    <row r="36" spans="1:8" ht="18.75" x14ac:dyDescent="0.2">
      <c r="A36" s="2106"/>
      <c r="B36" s="2056" t="s">
        <v>146</v>
      </c>
      <c r="C36" s="2112">
        <v>4286.0086997533263</v>
      </c>
      <c r="D36" s="2112">
        <v>4435.5905073197091</v>
      </c>
      <c r="E36" s="2112">
        <v>4537.3388688733239</v>
      </c>
      <c r="F36" s="2112">
        <v>4586.6030494903962</v>
      </c>
      <c r="G36" s="2113">
        <v>4631.1691049488209</v>
      </c>
      <c r="H36" s="2114">
        <v>103.03872689873116</v>
      </c>
    </row>
    <row r="37" spans="1:8" ht="18.75" x14ac:dyDescent="0.2">
      <c r="A37" s="2106"/>
      <c r="B37" s="2107" t="s">
        <v>180</v>
      </c>
      <c r="C37" s="2104">
        <v>1957.8445757353256</v>
      </c>
      <c r="D37" s="2104">
        <v>2004.1552879467815</v>
      </c>
      <c r="E37" s="2104">
        <v>1992.5848755213619</v>
      </c>
      <c r="F37" s="2104">
        <v>2004.1875130354758</v>
      </c>
      <c r="G37" s="2099">
        <v>2004.9866963056991</v>
      </c>
      <c r="H37" s="2115">
        <v>45.185791644086187</v>
      </c>
    </row>
    <row r="38" spans="1:8" ht="18.75" x14ac:dyDescent="0.2">
      <c r="A38" s="2106"/>
      <c r="B38" s="2107" t="s">
        <v>181</v>
      </c>
      <c r="C38" s="2104">
        <v>2328.1641240180015</v>
      </c>
      <c r="D38" s="2104">
        <v>2431.4352193729287</v>
      </c>
      <c r="E38" s="2104">
        <v>2544.7539933519661</v>
      </c>
      <c r="F38" s="2104">
        <v>2582.4155364549197</v>
      </c>
      <c r="G38" s="2099">
        <v>2626.182408643122</v>
      </c>
      <c r="H38" s="2115">
        <v>57.852935254644947</v>
      </c>
    </row>
    <row r="39" spans="1:8" ht="18.75" x14ac:dyDescent="0.2">
      <c r="A39" s="2106"/>
      <c r="B39" s="2107" t="s">
        <v>194</v>
      </c>
      <c r="C39" s="2104">
        <v>495.04076021360947</v>
      </c>
      <c r="D39" s="2104">
        <v>511.51480342878801</v>
      </c>
      <c r="E39" s="2104">
        <v>497.61482956152167</v>
      </c>
      <c r="F39" s="2104">
        <v>505.90970694222597</v>
      </c>
      <c r="G39" s="2099">
        <v>501.34009960853814</v>
      </c>
      <c r="H39" s="2115">
        <v>10.653773826510834</v>
      </c>
    </row>
    <row r="40" spans="1:8" s="374" customFormat="1" ht="15" x14ac:dyDescent="0.2">
      <c r="A40" s="2117" t="s">
        <v>2932</v>
      </c>
      <c r="B40" s="2109"/>
      <c r="C40" s="2109"/>
      <c r="D40" s="2109"/>
      <c r="E40" s="2109"/>
      <c r="F40" s="2109"/>
      <c r="G40" s="2110"/>
      <c r="H40" s="2111"/>
    </row>
    <row r="41" spans="1:8" s="374" customFormat="1" ht="34.5" customHeight="1" x14ac:dyDescent="0.2">
      <c r="A41" s="2680" t="s">
        <v>209</v>
      </c>
      <c r="B41" s="2681"/>
      <c r="C41" s="2681"/>
      <c r="D41" s="2681"/>
      <c r="E41" s="2681"/>
      <c r="F41" s="2681"/>
      <c r="G41" s="2681"/>
      <c r="H41" s="2682"/>
    </row>
    <row r="42" spans="1:8" s="374" customFormat="1" ht="13.5" x14ac:dyDescent="0.2">
      <c r="A42" s="2683" t="s">
        <v>210</v>
      </c>
      <c r="B42" s="2684"/>
      <c r="C42" s="2684"/>
      <c r="D42" s="2684"/>
      <c r="E42" s="2684"/>
      <c r="F42" s="2684"/>
      <c r="G42" s="2684"/>
      <c r="H42" s="2685"/>
    </row>
    <row r="43" spans="1:8" s="374" customFormat="1" ht="58.5" customHeight="1" thickBot="1" x14ac:dyDescent="0.25">
      <c r="A43" s="2686" t="s">
        <v>2394</v>
      </c>
      <c r="B43" s="2687"/>
      <c r="C43" s="2687"/>
      <c r="D43" s="2687"/>
      <c r="E43" s="2687"/>
      <c r="F43" s="2687"/>
      <c r="G43" s="2687"/>
      <c r="H43" s="2688"/>
    </row>
    <row r="64" ht="1.5" customHeight="1" x14ac:dyDescent="0.25"/>
  </sheetData>
  <mergeCells count="8">
    <mergeCell ref="A1:H1"/>
    <mergeCell ref="A41:H41"/>
    <mergeCell ref="A42:H42"/>
    <mergeCell ref="A43:H43"/>
    <mergeCell ref="C2:G2"/>
    <mergeCell ref="B2:B3"/>
    <mergeCell ref="A2:A3"/>
    <mergeCell ref="H2:H3"/>
  </mergeCells>
  <pageMargins left="0.70866141732283472" right="0.70866141732283472" top="0.74803149606299213" bottom="0.74803149606299213" header="0.31496062992125984" footer="0.31496062992125984"/>
  <pageSetup paperSize="9" scale="63" orientation="portrait" horizontalDpi="300" verticalDpi="30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86E242-B698-4975-A6E7-1F4E13D29781}">
  <sheetPr>
    <tabColor theme="0"/>
    <pageSetUpPr fitToPage="1"/>
  </sheetPr>
  <dimension ref="A1:M64"/>
  <sheetViews>
    <sheetView showGridLines="0" view="pageLayout" topLeftCell="A35" zoomScale="85" zoomScaleNormal="80" zoomScalePageLayoutView="85" workbookViewId="0">
      <selection activeCell="B81" sqref="B81"/>
    </sheetView>
  </sheetViews>
  <sheetFormatPr defaultColWidth="9.140625" defaultRowHeight="20.100000000000001" customHeight="1" x14ac:dyDescent="0.2"/>
  <cols>
    <col min="1" max="1" width="6" style="36" customWidth="1"/>
    <col min="2" max="2" width="48.5703125" style="37" customWidth="1"/>
    <col min="3" max="3" width="20" style="904" customWidth="1"/>
    <col min="4" max="4" width="20" style="905" customWidth="1"/>
    <col min="5" max="5" width="21.42578125" style="904" customWidth="1"/>
    <col min="6" max="6" width="22.85546875" style="36" customWidth="1"/>
    <col min="7" max="8" width="25.7109375" style="36" customWidth="1"/>
    <col min="9" max="9" width="9.140625" style="30"/>
    <col min="10" max="10" width="3.85546875" style="30" hidden="1" customWidth="1"/>
    <col min="11" max="11" width="29.7109375" style="30" hidden="1" customWidth="1"/>
    <col min="12" max="12" width="7.7109375" style="30" hidden="1" customWidth="1"/>
    <col min="13" max="13" width="9" style="30" hidden="1" customWidth="1"/>
    <col min="14" max="16" width="0" style="30" hidden="1" customWidth="1"/>
    <col min="17" max="16384" width="9.140625" style="30"/>
  </cols>
  <sheetData>
    <row r="1" spans="1:13" ht="27.75" customHeight="1" x14ac:dyDescent="0.3">
      <c r="A1" s="2696" t="s">
        <v>211</v>
      </c>
      <c r="B1" s="2697"/>
      <c r="C1" s="2697"/>
      <c r="D1" s="2697"/>
      <c r="E1" s="2697"/>
      <c r="F1" s="2698"/>
      <c r="G1" s="962"/>
      <c r="H1" s="962"/>
    </row>
    <row r="2" spans="1:13" s="35" customFormat="1" ht="20.100000000000001" customHeight="1" x14ac:dyDescent="0.3">
      <c r="A2" s="2699" t="s">
        <v>212</v>
      </c>
      <c r="B2" s="2700"/>
      <c r="C2" s="2700"/>
      <c r="D2" s="2700"/>
      <c r="E2" s="2700"/>
      <c r="F2" s="2701"/>
      <c r="G2" s="963"/>
      <c r="H2" s="963"/>
    </row>
    <row r="3" spans="1:13" s="35" customFormat="1" ht="24" customHeight="1" x14ac:dyDescent="0.3">
      <c r="A3" s="589" t="s">
        <v>213</v>
      </c>
      <c r="B3" s="2066" t="s">
        <v>116</v>
      </c>
      <c r="C3" s="2057">
        <v>2015</v>
      </c>
      <c r="D3" s="2057">
        <v>2025</v>
      </c>
      <c r="E3" s="2057" t="s">
        <v>214</v>
      </c>
      <c r="F3" s="2058" t="s">
        <v>215</v>
      </c>
      <c r="G3" s="962"/>
      <c r="H3" s="962"/>
    </row>
    <row r="4" spans="1:13" s="35" customFormat="1" ht="20.100000000000001" hidden="1" customHeight="1" x14ac:dyDescent="0.3">
      <c r="A4" s="588"/>
      <c r="B4" s="585"/>
      <c r="C4" s="898"/>
      <c r="D4" s="898"/>
      <c r="E4" s="2059"/>
      <c r="F4" s="2060"/>
      <c r="G4" s="964"/>
      <c r="H4" s="964"/>
    </row>
    <row r="5" spans="1:13" s="379" customFormat="1" ht="29.25" customHeight="1" x14ac:dyDescent="0.25">
      <c r="A5" s="588">
        <v>1</v>
      </c>
      <c r="B5" s="585" t="s">
        <v>125</v>
      </c>
      <c r="C5" s="898">
        <v>15024.180506849314</v>
      </c>
      <c r="D5" s="898">
        <v>18829</v>
      </c>
      <c r="E5" s="898">
        <f>+D5-C5</f>
        <v>3804.819493150686</v>
      </c>
      <c r="F5" s="899">
        <f t="shared" ref="F5:F35" si="0">E5/C5%</f>
        <v>25.324639113701554</v>
      </c>
      <c r="G5" s="965"/>
      <c r="H5" s="965"/>
      <c r="J5" s="380">
        <v>1</v>
      </c>
      <c r="K5" s="381" t="s">
        <v>129</v>
      </c>
      <c r="L5" s="382">
        <v>17367.000000000004</v>
      </c>
      <c r="M5" s="383">
        <v>17941</v>
      </c>
    </row>
    <row r="6" spans="1:13" s="379" customFormat="1" ht="29.25" customHeight="1" x14ac:dyDescent="0.25">
      <c r="A6" s="588">
        <v>2</v>
      </c>
      <c r="B6" s="585" t="s">
        <v>129</v>
      </c>
      <c r="C6" s="898">
        <v>18317</v>
      </c>
      <c r="D6" s="898">
        <v>18171.999999999996</v>
      </c>
      <c r="E6" s="902">
        <f>+D6-C6</f>
        <v>-145.00000000000364</v>
      </c>
      <c r="F6" s="899">
        <f t="shared" si="0"/>
        <v>-0.79161434732763902</v>
      </c>
      <c r="G6" s="965"/>
      <c r="H6" s="965"/>
      <c r="J6" s="380">
        <f>+J5+1</f>
        <v>2</v>
      </c>
      <c r="K6" s="381" t="s">
        <v>125</v>
      </c>
      <c r="L6" s="382">
        <v>13014.68610958904</v>
      </c>
      <c r="M6" s="383">
        <v>16990.260062898</v>
      </c>
    </row>
    <row r="7" spans="1:13" s="379" customFormat="1" ht="29.25" customHeight="1" x14ac:dyDescent="0.25">
      <c r="A7" s="588">
        <v>3</v>
      </c>
      <c r="B7" s="585" t="s">
        <v>134</v>
      </c>
      <c r="C7" s="898">
        <v>6457</v>
      </c>
      <c r="D7" s="898">
        <v>6717.9999999999991</v>
      </c>
      <c r="E7" s="898">
        <f t="shared" ref="E7:E34" si="1">+D7-C7</f>
        <v>260.99999999999909</v>
      </c>
      <c r="F7" s="899">
        <f t="shared" si="0"/>
        <v>4.0421248257704683</v>
      </c>
      <c r="G7" s="965"/>
      <c r="H7" s="965"/>
      <c r="J7" s="380">
        <f t="shared" ref="J7:J34" si="2">+J6+1</f>
        <v>3</v>
      </c>
      <c r="K7" s="381" t="s">
        <v>134</v>
      </c>
      <c r="L7" s="382">
        <v>5673</v>
      </c>
      <c r="M7" s="383">
        <v>6861</v>
      </c>
    </row>
    <row r="8" spans="1:13" s="379" customFormat="1" ht="29.25" customHeight="1" x14ac:dyDescent="0.25">
      <c r="A8" s="589">
        <v>4</v>
      </c>
      <c r="B8" s="586" t="s">
        <v>132</v>
      </c>
      <c r="C8" s="900">
        <v>4307.202580645162</v>
      </c>
      <c r="D8" s="900">
        <v>4924.0530136986308</v>
      </c>
      <c r="E8" s="900">
        <f t="shared" si="1"/>
        <v>616.85043305346881</v>
      </c>
      <c r="F8" s="901">
        <f t="shared" si="0"/>
        <v>14.321370344300657</v>
      </c>
      <c r="G8" s="966"/>
      <c r="H8" s="966"/>
      <c r="J8" s="380">
        <f t="shared" si="2"/>
        <v>4</v>
      </c>
      <c r="K8" s="381" t="s">
        <v>132</v>
      </c>
      <c r="L8" s="382">
        <v>3794.5787158082194</v>
      </c>
      <c r="M8" s="383">
        <v>5017.7396774193548</v>
      </c>
    </row>
    <row r="9" spans="1:13" s="379" customFormat="1" ht="29.25" customHeight="1" x14ac:dyDescent="0.25">
      <c r="A9" s="588">
        <v>5</v>
      </c>
      <c r="B9" s="585" t="s">
        <v>138</v>
      </c>
      <c r="C9" s="898">
        <v>3128.35</v>
      </c>
      <c r="D9" s="898">
        <v>3569.6</v>
      </c>
      <c r="E9" s="898">
        <f t="shared" si="1"/>
        <v>441.25</v>
      </c>
      <c r="F9" s="899">
        <f t="shared" si="0"/>
        <v>14.104879569101923</v>
      </c>
      <c r="G9" s="965"/>
      <c r="H9" s="965"/>
      <c r="J9" s="380">
        <f t="shared" si="2"/>
        <v>5</v>
      </c>
      <c r="K9" s="381" t="s">
        <v>138</v>
      </c>
      <c r="L9" s="382">
        <v>2864.2499999999995</v>
      </c>
      <c r="M9" s="383">
        <v>3572.0000000000005</v>
      </c>
    </row>
    <row r="10" spans="1:13" s="379" customFormat="1" ht="29.25" customHeight="1" x14ac:dyDescent="0.25">
      <c r="A10" s="588">
        <v>6</v>
      </c>
      <c r="B10" s="585" t="s">
        <v>142</v>
      </c>
      <c r="C10" s="898">
        <v>2899</v>
      </c>
      <c r="D10" s="898">
        <v>3289.0000000000005</v>
      </c>
      <c r="E10" s="902">
        <f t="shared" si="1"/>
        <v>390.00000000000045</v>
      </c>
      <c r="F10" s="899">
        <f t="shared" si="0"/>
        <v>13.452914798206294</v>
      </c>
      <c r="G10" s="965"/>
      <c r="H10" s="965"/>
      <c r="J10" s="380">
        <f t="shared" si="2"/>
        <v>6</v>
      </c>
      <c r="K10" s="381" t="s">
        <v>135</v>
      </c>
      <c r="L10" s="382">
        <v>4274.2628000000004</v>
      </c>
      <c r="M10" s="383">
        <v>3284.9100000000003</v>
      </c>
    </row>
    <row r="11" spans="1:13" s="379" customFormat="1" ht="29.25" customHeight="1" x14ac:dyDescent="0.25">
      <c r="A11" s="588">
        <v>7</v>
      </c>
      <c r="B11" s="585" t="s">
        <v>135</v>
      </c>
      <c r="C11" s="898">
        <v>3720.8649999999998</v>
      </c>
      <c r="D11" s="898">
        <v>3110.4</v>
      </c>
      <c r="E11" s="902">
        <f t="shared" si="1"/>
        <v>-610.46499999999969</v>
      </c>
      <c r="F11" s="899">
        <f t="shared" si="0"/>
        <v>-16.40653450205798</v>
      </c>
      <c r="G11" s="965"/>
      <c r="H11" s="965"/>
      <c r="J11" s="380">
        <f t="shared" si="2"/>
        <v>7</v>
      </c>
      <c r="K11" s="381" t="s">
        <v>142</v>
      </c>
      <c r="L11" s="382">
        <v>2107</v>
      </c>
      <c r="M11" s="383">
        <v>2904.9999999999995</v>
      </c>
    </row>
    <row r="12" spans="1:13" s="379" customFormat="1" ht="29.25" customHeight="1" x14ac:dyDescent="0.25">
      <c r="A12" s="588">
        <v>8</v>
      </c>
      <c r="B12" s="585" t="s">
        <v>141</v>
      </c>
      <c r="C12" s="898">
        <v>2075</v>
      </c>
      <c r="D12" s="898">
        <v>2460</v>
      </c>
      <c r="E12" s="898">
        <f t="shared" si="1"/>
        <v>385</v>
      </c>
      <c r="F12" s="899">
        <f t="shared" si="0"/>
        <v>18.554216867469879</v>
      </c>
      <c r="G12" s="965"/>
      <c r="H12" s="965"/>
      <c r="J12" s="380">
        <f t="shared" si="2"/>
        <v>8</v>
      </c>
      <c r="K12" s="381" t="s">
        <v>141</v>
      </c>
      <c r="L12" s="382">
        <v>1950</v>
      </c>
      <c r="M12" s="383">
        <v>2508</v>
      </c>
    </row>
    <row r="13" spans="1:13" s="379" customFormat="1" ht="29.25" customHeight="1" x14ac:dyDescent="0.25">
      <c r="A13" s="588">
        <v>9</v>
      </c>
      <c r="B13" s="585" t="s">
        <v>139</v>
      </c>
      <c r="C13" s="898">
        <v>2281.4</v>
      </c>
      <c r="D13" s="898">
        <v>2295.8752686664075</v>
      </c>
      <c r="E13" s="898">
        <f t="shared" si="1"/>
        <v>14.475268666407374</v>
      </c>
      <c r="F13" s="899">
        <f t="shared" si="0"/>
        <v>0.63449060517258582</v>
      </c>
      <c r="G13" s="965"/>
      <c r="H13" s="965"/>
      <c r="J13" s="380">
        <f t="shared" si="2"/>
        <v>9</v>
      </c>
      <c r="K13" s="381" t="s">
        <v>139</v>
      </c>
      <c r="L13" s="382">
        <v>2013.7949999999998</v>
      </c>
      <c r="M13" s="383">
        <v>2302.542468054889</v>
      </c>
    </row>
    <row r="14" spans="1:13" s="379" customFormat="1" ht="29.25" customHeight="1" x14ac:dyDescent="0.25">
      <c r="A14" s="588">
        <v>10</v>
      </c>
      <c r="B14" s="585" t="s">
        <v>137</v>
      </c>
      <c r="C14" s="898">
        <v>2049.4880821917809</v>
      </c>
      <c r="D14" s="898">
        <v>1951</v>
      </c>
      <c r="E14" s="902">
        <f t="shared" si="1"/>
        <v>-98.488082191780904</v>
      </c>
      <c r="F14" s="899">
        <f t="shared" si="0"/>
        <v>-4.8054967017156276</v>
      </c>
      <c r="G14" s="965"/>
      <c r="H14" s="965"/>
      <c r="J14" s="380">
        <f t="shared" si="2"/>
        <v>10</v>
      </c>
      <c r="K14" s="381" t="s">
        <v>137</v>
      </c>
      <c r="L14" s="382">
        <v>2077.4826575342463</v>
      </c>
      <c r="M14" s="383">
        <v>2120.6192054794519</v>
      </c>
    </row>
    <row r="15" spans="1:13" s="379" customFormat="1" ht="18.75" x14ac:dyDescent="0.25">
      <c r="A15" s="588">
        <v>11</v>
      </c>
      <c r="B15" s="585" t="s">
        <v>136</v>
      </c>
      <c r="C15" s="898">
        <v>1930.7894938503782</v>
      </c>
      <c r="D15" s="898">
        <v>1943</v>
      </c>
      <c r="E15" s="902">
        <f t="shared" si="1"/>
        <v>12.210506149621779</v>
      </c>
      <c r="F15" s="899">
        <f t="shared" si="0"/>
        <v>0.63241001613653913</v>
      </c>
      <c r="G15" s="965"/>
      <c r="H15" s="965"/>
      <c r="J15" s="380">
        <f t="shared" si="2"/>
        <v>11</v>
      </c>
      <c r="K15" s="381" t="s">
        <v>136</v>
      </c>
      <c r="L15" s="382">
        <v>2004.5356048797892</v>
      </c>
      <c r="M15" s="383">
        <v>1954</v>
      </c>
    </row>
    <row r="16" spans="1:13" s="379" customFormat="1" ht="29.25" customHeight="1" x14ac:dyDescent="0.25">
      <c r="A16" s="588">
        <v>12</v>
      </c>
      <c r="B16" s="585" t="s">
        <v>140</v>
      </c>
      <c r="C16" s="898">
        <v>1521.9</v>
      </c>
      <c r="D16" s="898">
        <v>1847</v>
      </c>
      <c r="E16" s="902">
        <f t="shared" si="1"/>
        <v>325.09999999999991</v>
      </c>
      <c r="F16" s="899">
        <f t="shared" si="0"/>
        <v>21.361456074643531</v>
      </c>
      <c r="G16" s="965"/>
      <c r="H16" s="965"/>
      <c r="J16" s="380">
        <f t="shared" si="2"/>
        <v>12</v>
      </c>
      <c r="K16" s="381" t="s">
        <v>201</v>
      </c>
      <c r="L16" s="382">
        <v>2276</v>
      </c>
      <c r="M16" s="383">
        <v>1900</v>
      </c>
    </row>
    <row r="17" spans="1:13" s="379" customFormat="1" ht="29.25" customHeight="1" x14ac:dyDescent="0.25">
      <c r="A17" s="588">
        <v>13</v>
      </c>
      <c r="B17" s="585" t="s">
        <v>201</v>
      </c>
      <c r="C17" s="898">
        <v>1900</v>
      </c>
      <c r="D17" s="898">
        <v>1672.8465753424657</v>
      </c>
      <c r="E17" s="902">
        <f t="shared" si="1"/>
        <v>-227.15342465753429</v>
      </c>
      <c r="F17" s="899">
        <f t="shared" si="0"/>
        <v>-11.95544340302812</v>
      </c>
      <c r="G17" s="965"/>
      <c r="H17" s="965"/>
      <c r="J17" s="380">
        <f t="shared" si="2"/>
        <v>13</v>
      </c>
      <c r="K17" s="381" t="s">
        <v>200</v>
      </c>
      <c r="L17" s="382">
        <v>1541.9106849315069</v>
      </c>
      <c r="M17" s="383">
        <v>1586.4931506849316</v>
      </c>
    </row>
    <row r="18" spans="1:13" s="379" customFormat="1" ht="29.25" customHeight="1" x14ac:dyDescent="0.25">
      <c r="A18" s="588">
        <v>14</v>
      </c>
      <c r="B18" s="585" t="s">
        <v>200</v>
      </c>
      <c r="C18" s="898">
        <v>1562.3945205479451</v>
      </c>
      <c r="D18" s="898">
        <v>1532</v>
      </c>
      <c r="E18" s="902">
        <f t="shared" si="1"/>
        <v>-30.394520547945149</v>
      </c>
      <c r="F18" s="899">
        <f t="shared" si="0"/>
        <v>-1.9453806415863217</v>
      </c>
      <c r="G18" s="965"/>
      <c r="H18" s="965"/>
      <c r="J18" s="380">
        <f t="shared" si="2"/>
        <v>14</v>
      </c>
      <c r="K18" s="381" t="s">
        <v>140</v>
      </c>
      <c r="L18" s="382">
        <v>1605.5</v>
      </c>
      <c r="M18" s="383">
        <v>1558.0000000000002</v>
      </c>
    </row>
    <row r="19" spans="1:13" s="379" customFormat="1" ht="29.25" customHeight="1" x14ac:dyDescent="0.25">
      <c r="A19" s="588">
        <v>15</v>
      </c>
      <c r="B19" s="585" t="s">
        <v>161</v>
      </c>
      <c r="C19" s="898">
        <v>936</v>
      </c>
      <c r="D19" s="898">
        <v>1429.9999999999998</v>
      </c>
      <c r="E19" s="902">
        <f t="shared" si="1"/>
        <v>493.99999999999977</v>
      </c>
      <c r="F19" s="899">
        <f t="shared" si="0"/>
        <v>52.777777777777757</v>
      </c>
      <c r="G19" s="965"/>
      <c r="H19" s="965"/>
      <c r="J19" s="380">
        <f t="shared" si="2"/>
        <v>15</v>
      </c>
      <c r="K19" s="381" t="s">
        <v>199</v>
      </c>
      <c r="L19" s="382">
        <v>1427</v>
      </c>
      <c r="M19" s="383">
        <v>1461</v>
      </c>
    </row>
    <row r="20" spans="1:13" s="379" customFormat="1" ht="29.25" customHeight="1" x14ac:dyDescent="0.25">
      <c r="A20" s="588">
        <v>16</v>
      </c>
      <c r="B20" s="585" t="s">
        <v>160</v>
      </c>
      <c r="C20" s="898">
        <v>763</v>
      </c>
      <c r="D20" s="898">
        <v>1389</v>
      </c>
      <c r="E20" s="902">
        <f t="shared" si="1"/>
        <v>626</v>
      </c>
      <c r="F20" s="899">
        <f t="shared" si="0"/>
        <v>82.044560943643518</v>
      </c>
      <c r="G20" s="965"/>
      <c r="H20" s="965"/>
      <c r="J20" s="380">
        <f t="shared" si="2"/>
        <v>16</v>
      </c>
      <c r="K20" s="381" t="s">
        <v>161</v>
      </c>
      <c r="L20" s="382">
        <v>936</v>
      </c>
      <c r="M20" s="383">
        <v>1429.9999999999998</v>
      </c>
    </row>
    <row r="21" spans="1:13" s="379" customFormat="1" ht="29.25" customHeight="1" x14ac:dyDescent="0.25">
      <c r="A21" s="588">
        <v>17</v>
      </c>
      <c r="B21" s="585" t="s">
        <v>159</v>
      </c>
      <c r="C21" s="898">
        <v>1302.9999999999998</v>
      </c>
      <c r="D21" s="898">
        <v>1302.9999999999998</v>
      </c>
      <c r="E21" s="902">
        <f t="shared" si="1"/>
        <v>0</v>
      </c>
      <c r="F21" s="899">
        <f t="shared" si="0"/>
        <v>0</v>
      </c>
      <c r="G21" s="965"/>
      <c r="H21" s="965"/>
      <c r="J21" s="380">
        <f t="shared" si="2"/>
        <v>17</v>
      </c>
      <c r="K21" s="381" t="s">
        <v>159</v>
      </c>
      <c r="L21" s="382">
        <v>1302.9999999999998</v>
      </c>
      <c r="M21" s="383">
        <v>1302.9999999999998</v>
      </c>
    </row>
    <row r="22" spans="1:13" s="379" customFormat="1" ht="29.25" customHeight="1" x14ac:dyDescent="0.25">
      <c r="A22" s="588">
        <v>18</v>
      </c>
      <c r="B22" s="585" t="s">
        <v>199</v>
      </c>
      <c r="C22" s="898">
        <v>1514</v>
      </c>
      <c r="D22" s="898">
        <v>1289</v>
      </c>
      <c r="E22" s="902">
        <f t="shared" si="1"/>
        <v>-225</v>
      </c>
      <c r="F22" s="899">
        <f t="shared" si="0"/>
        <v>-14.861294583883751</v>
      </c>
      <c r="G22" s="965"/>
      <c r="H22" s="965"/>
      <c r="J22" s="380">
        <f t="shared" si="2"/>
        <v>18</v>
      </c>
      <c r="K22" s="381" t="s">
        <v>162</v>
      </c>
      <c r="L22" s="382">
        <v>707</v>
      </c>
      <c r="M22" s="383">
        <v>1246</v>
      </c>
    </row>
    <row r="23" spans="1:13" s="379" customFormat="1" ht="29.25" customHeight="1" x14ac:dyDescent="0.25">
      <c r="A23" s="588">
        <v>19</v>
      </c>
      <c r="B23" s="585" t="s">
        <v>206</v>
      </c>
      <c r="C23" s="898">
        <v>1297.75</v>
      </c>
      <c r="D23" s="898">
        <v>1260</v>
      </c>
      <c r="E23" s="902">
        <f t="shared" si="1"/>
        <v>-37.75</v>
      </c>
      <c r="F23" s="899">
        <f t="shared" si="0"/>
        <v>-2.9088807551531497</v>
      </c>
      <c r="G23" s="965"/>
      <c r="H23" s="965"/>
      <c r="J23" s="380">
        <f t="shared" si="2"/>
        <v>19</v>
      </c>
      <c r="K23" s="381" t="s">
        <v>203</v>
      </c>
      <c r="L23" s="382">
        <v>1229.5</v>
      </c>
      <c r="M23" s="383">
        <v>1244.5</v>
      </c>
    </row>
    <row r="24" spans="1:13" s="379" customFormat="1" ht="29.25" customHeight="1" x14ac:dyDescent="0.25">
      <c r="A24" s="588">
        <v>20</v>
      </c>
      <c r="B24" s="585" t="s">
        <v>145</v>
      </c>
      <c r="C24" s="898">
        <v>1110.6449999999998</v>
      </c>
      <c r="D24" s="898">
        <v>1259</v>
      </c>
      <c r="E24" s="902">
        <f t="shared" si="1"/>
        <v>148.35500000000025</v>
      </c>
      <c r="F24" s="899">
        <f t="shared" si="0"/>
        <v>13.357553493690629</v>
      </c>
      <c r="G24" s="965"/>
      <c r="H24" s="965"/>
      <c r="J24" s="380">
        <f t="shared" si="2"/>
        <v>20</v>
      </c>
      <c r="K24" s="381" t="s">
        <v>206</v>
      </c>
      <c r="L24" s="382">
        <v>1276.229</v>
      </c>
      <c r="M24" s="383">
        <v>1238.0999999999999</v>
      </c>
    </row>
    <row r="25" spans="1:13" s="379" customFormat="1" ht="29.25" customHeight="1" x14ac:dyDescent="0.25">
      <c r="A25" s="588">
        <v>21</v>
      </c>
      <c r="B25" s="585" t="s">
        <v>162</v>
      </c>
      <c r="C25" s="898">
        <v>1149</v>
      </c>
      <c r="D25" s="898">
        <v>1258</v>
      </c>
      <c r="E25" s="902">
        <f t="shared" si="1"/>
        <v>109</v>
      </c>
      <c r="F25" s="899">
        <f t="shared" si="0"/>
        <v>9.4865100087032204</v>
      </c>
      <c r="G25" s="965"/>
      <c r="H25" s="965"/>
      <c r="J25" s="380">
        <f t="shared" si="2"/>
        <v>21</v>
      </c>
      <c r="K25" s="381" t="s">
        <v>144</v>
      </c>
      <c r="L25" s="382">
        <v>1787.3150684931506</v>
      </c>
      <c r="M25" s="383">
        <v>1196.8986301369864</v>
      </c>
    </row>
    <row r="26" spans="1:13" s="379" customFormat="1" ht="29.25" customHeight="1" x14ac:dyDescent="0.25">
      <c r="A26" s="588">
        <v>22</v>
      </c>
      <c r="B26" s="585" t="s">
        <v>203</v>
      </c>
      <c r="C26" s="898">
        <v>1251.5</v>
      </c>
      <c r="D26" s="898">
        <v>1242.0000000000002</v>
      </c>
      <c r="E26" s="902">
        <f t="shared" si="1"/>
        <v>-9.4999999999997726</v>
      </c>
      <c r="F26" s="899">
        <f t="shared" si="0"/>
        <v>-0.75908909308827588</v>
      </c>
      <c r="G26" s="965"/>
      <c r="H26" s="965"/>
      <c r="J26" s="380">
        <f t="shared" si="2"/>
        <v>22</v>
      </c>
      <c r="K26" s="381" t="s">
        <v>143</v>
      </c>
      <c r="L26" s="382">
        <v>1610.1700547945206</v>
      </c>
      <c r="M26" s="383">
        <v>1139.9999999999998</v>
      </c>
    </row>
    <row r="27" spans="1:13" s="379" customFormat="1" ht="29.25" customHeight="1" x14ac:dyDescent="0.25">
      <c r="A27" s="588">
        <v>23</v>
      </c>
      <c r="B27" s="585" t="s">
        <v>207</v>
      </c>
      <c r="C27" s="898">
        <v>988</v>
      </c>
      <c r="D27" s="898">
        <v>1139.9999999999998</v>
      </c>
      <c r="E27" s="902">
        <f t="shared" si="1"/>
        <v>151.99999999999977</v>
      </c>
      <c r="F27" s="899">
        <f t="shared" si="0"/>
        <v>15.38461538461536</v>
      </c>
      <c r="G27" s="965"/>
      <c r="H27" s="965"/>
      <c r="J27" s="380">
        <f t="shared" si="2"/>
        <v>23</v>
      </c>
      <c r="K27" s="381" t="s">
        <v>207</v>
      </c>
      <c r="L27" s="382">
        <v>1197.0000000000002</v>
      </c>
      <c r="M27" s="383">
        <v>1130.5</v>
      </c>
    </row>
    <row r="28" spans="1:13" s="379" customFormat="1" ht="29.25" customHeight="1" x14ac:dyDescent="0.25">
      <c r="A28" s="588">
        <v>24</v>
      </c>
      <c r="B28" s="585" t="s">
        <v>144</v>
      </c>
      <c r="C28" s="898">
        <v>1337.4739726027397</v>
      </c>
      <c r="D28" s="898">
        <v>1137</v>
      </c>
      <c r="E28" s="902">
        <f>+D28-C28</f>
        <v>-200.47397260273965</v>
      </c>
      <c r="F28" s="899">
        <f t="shared" si="0"/>
        <v>-14.988999913965802</v>
      </c>
      <c r="G28" s="965"/>
      <c r="H28" s="965"/>
      <c r="J28" s="380">
        <f t="shared" si="2"/>
        <v>24</v>
      </c>
      <c r="K28" s="381" t="s">
        <v>145</v>
      </c>
      <c r="L28" s="382">
        <v>1099.2449999999999</v>
      </c>
      <c r="M28" s="383">
        <v>1093.5450000000001</v>
      </c>
    </row>
    <row r="29" spans="1:13" s="379" customFormat="1" ht="29.25" customHeight="1" x14ac:dyDescent="0.25">
      <c r="A29" s="588">
        <v>25</v>
      </c>
      <c r="B29" s="585" t="s">
        <v>143</v>
      </c>
      <c r="C29" s="898">
        <v>1374.9272602739727</v>
      </c>
      <c r="D29" s="898">
        <v>1133</v>
      </c>
      <c r="E29" s="902">
        <f t="shared" si="1"/>
        <v>-241.92726027397271</v>
      </c>
      <c r="F29" s="899">
        <f t="shared" si="0"/>
        <v>-17.595640675984956</v>
      </c>
      <c r="G29" s="965"/>
      <c r="H29" s="965"/>
      <c r="J29" s="380">
        <f t="shared" si="2"/>
        <v>25</v>
      </c>
      <c r="K29" s="381" t="s">
        <v>178</v>
      </c>
      <c r="L29" s="382">
        <v>601</v>
      </c>
      <c r="M29" s="383">
        <v>955</v>
      </c>
    </row>
    <row r="30" spans="1:13" s="379" customFormat="1" ht="29.25" customHeight="1" x14ac:dyDescent="0.25">
      <c r="A30" s="588">
        <v>26</v>
      </c>
      <c r="B30" s="585" t="s">
        <v>178</v>
      </c>
      <c r="C30" s="898">
        <v>612</v>
      </c>
      <c r="D30" s="898">
        <v>991</v>
      </c>
      <c r="E30" s="902">
        <f t="shared" si="1"/>
        <v>379</v>
      </c>
      <c r="F30" s="899">
        <f t="shared" si="0"/>
        <v>61.928104575163395</v>
      </c>
      <c r="G30" s="965"/>
      <c r="H30" s="965"/>
      <c r="J30" s="380">
        <f t="shared" si="2"/>
        <v>26</v>
      </c>
      <c r="K30" s="381" t="s">
        <v>160</v>
      </c>
      <c r="L30" s="382">
        <v>935.00000000000011</v>
      </c>
      <c r="M30" s="383">
        <v>919</v>
      </c>
    </row>
    <row r="31" spans="1:13" s="379" customFormat="1" ht="29.25" customHeight="1" x14ac:dyDescent="0.25">
      <c r="A31" s="588">
        <v>27</v>
      </c>
      <c r="B31" s="585" t="s">
        <v>164</v>
      </c>
      <c r="C31" s="898">
        <v>449</v>
      </c>
      <c r="D31" s="898">
        <v>963</v>
      </c>
      <c r="E31" s="902">
        <f>+D31-C31</f>
        <v>514</v>
      </c>
      <c r="F31" s="899">
        <f>E31/C31%</f>
        <v>114.47661469933185</v>
      </c>
      <c r="G31" s="965"/>
      <c r="H31" s="965"/>
      <c r="J31" s="380">
        <f>+J30+1</f>
        <v>27</v>
      </c>
      <c r="K31" s="381" t="s">
        <v>202</v>
      </c>
      <c r="L31" s="382">
        <v>596</v>
      </c>
      <c r="M31" s="383">
        <v>822.00000000000011</v>
      </c>
    </row>
    <row r="32" spans="1:13" s="379" customFormat="1" ht="29.25" customHeight="1" x14ac:dyDescent="0.25">
      <c r="A32" s="588">
        <v>28</v>
      </c>
      <c r="B32" s="585" t="s">
        <v>175</v>
      </c>
      <c r="C32" s="898">
        <v>810.00000000000011</v>
      </c>
      <c r="D32" s="898">
        <v>872.00000000000011</v>
      </c>
      <c r="E32" s="902">
        <f t="shared" si="1"/>
        <v>62</v>
      </c>
      <c r="F32" s="899">
        <f t="shared" si="0"/>
        <v>7.6543209876543195</v>
      </c>
      <c r="G32" s="965"/>
      <c r="H32" s="965"/>
      <c r="J32" s="380">
        <f t="shared" si="2"/>
        <v>28</v>
      </c>
      <c r="K32" s="381" t="s">
        <v>175</v>
      </c>
      <c r="L32" s="382">
        <v>810.00000000000011</v>
      </c>
      <c r="M32" s="383">
        <v>795</v>
      </c>
    </row>
    <row r="33" spans="1:13" s="379" customFormat="1" ht="29.25" customHeight="1" x14ac:dyDescent="0.25">
      <c r="A33" s="588">
        <v>29</v>
      </c>
      <c r="B33" s="585" t="s">
        <v>2902</v>
      </c>
      <c r="C33" s="898">
        <v>596</v>
      </c>
      <c r="D33" s="898">
        <v>800.99999999999989</v>
      </c>
      <c r="E33" s="902">
        <f t="shared" si="1"/>
        <v>204.99999999999989</v>
      </c>
      <c r="F33" s="899">
        <f t="shared" si="0"/>
        <v>34.395973154362395</v>
      </c>
      <c r="G33" s="965"/>
      <c r="H33" s="965"/>
      <c r="J33" s="380">
        <f t="shared" si="2"/>
        <v>29</v>
      </c>
      <c r="K33" s="381" t="s">
        <v>173</v>
      </c>
      <c r="L33" s="382">
        <v>1014</v>
      </c>
      <c r="M33" s="383">
        <v>697.375</v>
      </c>
    </row>
    <row r="34" spans="1:13" s="379" customFormat="1" ht="29.25" customHeight="1" x14ac:dyDescent="0.25">
      <c r="A34" s="588">
        <v>30</v>
      </c>
      <c r="B34" s="585" t="s">
        <v>2903</v>
      </c>
      <c r="C34" s="898">
        <v>776</v>
      </c>
      <c r="D34" s="898">
        <v>757</v>
      </c>
      <c r="E34" s="902">
        <f t="shared" si="1"/>
        <v>-19</v>
      </c>
      <c r="F34" s="899">
        <f t="shared" si="0"/>
        <v>-2.4484536082474229</v>
      </c>
      <c r="G34" s="965"/>
      <c r="H34" s="965"/>
      <c r="J34" s="380">
        <f t="shared" si="2"/>
        <v>30</v>
      </c>
      <c r="K34" s="381" t="s">
        <v>167</v>
      </c>
      <c r="L34" s="382">
        <v>652.34999999999991</v>
      </c>
      <c r="M34" s="383">
        <v>656.99999999999989</v>
      </c>
    </row>
    <row r="35" spans="1:13" s="379" customFormat="1" ht="29.25" customHeight="1" x14ac:dyDescent="0.2">
      <c r="A35" s="589"/>
      <c r="B35" s="586" t="s">
        <v>147</v>
      </c>
      <c r="C35" s="900">
        <f>SUM(C5:C34)</f>
        <v>83442.866416961289</v>
      </c>
      <c r="D35" s="903">
        <f>SUM(D5:D34)</f>
        <v>90537.774857707511</v>
      </c>
      <c r="E35" s="900">
        <v>6895</v>
      </c>
      <c r="F35" s="901">
        <f t="shared" si="0"/>
        <v>8.2631389549178582</v>
      </c>
      <c r="G35" s="966"/>
      <c r="H35" s="966"/>
    </row>
    <row r="36" spans="1:13" s="379" customFormat="1" ht="29.25" customHeight="1" x14ac:dyDescent="0.25">
      <c r="A36" s="588"/>
      <c r="B36" s="585" t="s">
        <v>148</v>
      </c>
      <c r="C36" s="898">
        <f>C37-C35</f>
        <v>14686.364852054801</v>
      </c>
      <c r="D36" s="898">
        <f>D37-D35</f>
        <v>13218.70819178081</v>
      </c>
      <c r="E36" s="902">
        <f>D36-C36</f>
        <v>-1467.6566602739913</v>
      </c>
      <c r="F36" s="899">
        <f>E36/C36%</f>
        <v>-9.9933283358995961</v>
      </c>
      <c r="G36" s="965"/>
      <c r="H36" s="965"/>
      <c r="K36" s="384" t="s">
        <v>146</v>
      </c>
      <c r="L36" s="385">
        <v>95051.167855975669</v>
      </c>
      <c r="M36" s="385">
        <v>101912.03171181768</v>
      </c>
    </row>
    <row r="37" spans="1:13" s="379" customFormat="1" ht="29.25" customHeight="1" x14ac:dyDescent="0.25">
      <c r="A37" s="588"/>
      <c r="B37" s="587" t="s">
        <v>146</v>
      </c>
      <c r="C37" s="2067">
        <v>98129.231269016091</v>
      </c>
      <c r="D37" s="2067">
        <v>103756.48304948832</v>
      </c>
      <c r="E37" s="2068">
        <f>D37-C37</f>
        <v>5627.2517804722302</v>
      </c>
      <c r="F37" s="2069">
        <v>9.7145871854244188</v>
      </c>
      <c r="G37" s="966"/>
      <c r="H37" s="966"/>
      <c r="K37" s="381" t="s">
        <v>180</v>
      </c>
      <c r="L37" s="382">
        <v>45551.702404879798</v>
      </c>
      <c r="M37" s="383">
        <v>43730.151330842673</v>
      </c>
    </row>
    <row r="38" spans="1:13" s="379" customFormat="1" ht="29.25" customHeight="1" x14ac:dyDescent="0.25">
      <c r="A38" s="588"/>
      <c r="B38" s="585" t="s">
        <v>180</v>
      </c>
      <c r="C38" s="2070">
        <v>44668.48168563121</v>
      </c>
      <c r="D38" s="2070">
        <v>43579.4506849315</v>
      </c>
      <c r="E38" s="2071">
        <f>D38-C38</f>
        <v>-1089.0310006997097</v>
      </c>
      <c r="F38" s="2072">
        <f>E38/C38%</f>
        <v>-2.4380300372959063</v>
      </c>
      <c r="G38" s="965"/>
      <c r="H38" s="965"/>
      <c r="K38" s="381" t="s">
        <v>181</v>
      </c>
      <c r="L38" s="382">
        <v>49499.465451095886</v>
      </c>
      <c r="M38" s="383">
        <v>58181.880380974981</v>
      </c>
    </row>
    <row r="39" spans="1:13" s="379" customFormat="1" ht="21" customHeight="1" x14ac:dyDescent="0.25">
      <c r="A39" s="588"/>
      <c r="B39" s="585" t="s">
        <v>181</v>
      </c>
      <c r="C39" s="2070">
        <v>53460.749583384888</v>
      </c>
      <c r="D39" s="2070">
        <v>60177.032364556821</v>
      </c>
      <c r="E39" s="2071">
        <f>D39-C39</f>
        <v>6716.2827811719326</v>
      </c>
      <c r="F39" s="2072">
        <f>E39/C39%</f>
        <v>12.563016481271507</v>
      </c>
      <c r="G39" s="965"/>
      <c r="H39" s="965"/>
      <c r="K39" s="386" t="s">
        <v>194</v>
      </c>
      <c r="L39" s="387">
        <v>13431.730753424657</v>
      </c>
      <c r="M39" s="388">
        <v>12309.972563719386</v>
      </c>
    </row>
    <row r="40" spans="1:13" s="379" customFormat="1" ht="29.25" customHeight="1" x14ac:dyDescent="0.2">
      <c r="A40" s="588"/>
      <c r="B40" s="585" t="s">
        <v>194</v>
      </c>
      <c r="C40" s="2070">
        <v>12871.476301369865</v>
      </c>
      <c r="D40" s="2070">
        <v>11979.954767123289</v>
      </c>
      <c r="E40" s="2071">
        <f>D40-C40</f>
        <v>-891.52153424657627</v>
      </c>
      <c r="F40" s="2072">
        <f>E40/C40%</f>
        <v>-6.9263347371559458</v>
      </c>
      <c r="G40" s="965"/>
      <c r="H40" s="965"/>
    </row>
    <row r="41" spans="1:13" s="35" customFormat="1" ht="15.75" customHeight="1" x14ac:dyDescent="0.25">
      <c r="A41" s="2061" t="s">
        <v>2904</v>
      </c>
      <c r="B41" s="2062"/>
      <c r="C41" s="2063"/>
      <c r="D41" s="2064"/>
      <c r="E41" s="2064"/>
      <c r="F41" s="2065"/>
      <c r="G41" s="906"/>
      <c r="H41" s="906"/>
    </row>
    <row r="42" spans="1:13" s="35" customFormat="1" ht="21.75" customHeight="1" x14ac:dyDescent="0.25">
      <c r="A42" s="2061" t="s">
        <v>216</v>
      </c>
      <c r="B42" s="2062"/>
      <c r="C42" s="2063"/>
      <c r="D42" s="2064"/>
      <c r="E42" s="2064"/>
      <c r="F42" s="2065"/>
      <c r="G42" s="906"/>
      <c r="H42" s="906"/>
    </row>
    <row r="43" spans="1:13" s="35" customFormat="1" ht="51.75" customHeight="1" thickBot="1" x14ac:dyDescent="0.3">
      <c r="A43" s="2702" t="s">
        <v>2393</v>
      </c>
      <c r="B43" s="2703"/>
      <c r="C43" s="2703"/>
      <c r="D43" s="2703"/>
      <c r="E43" s="2703"/>
      <c r="F43" s="2704"/>
      <c r="G43" s="967"/>
      <c r="H43" s="967"/>
    </row>
    <row r="64" ht="1.5" customHeight="1" x14ac:dyDescent="0.2"/>
  </sheetData>
  <mergeCells count="3">
    <mergeCell ref="A1:F1"/>
    <mergeCell ref="A2:F2"/>
    <mergeCell ref="A43:F43"/>
  </mergeCells>
  <pageMargins left="0.70866141732283472" right="0.70866141732283472" top="0.74803149606299213" bottom="0.74803149606299213" header="0.31496062992125984" footer="0.31496062992125984"/>
  <pageSetup paperSize="9" scale="60"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7BA348-5EC6-40A1-9803-70967EE87C57}">
  <sheetPr>
    <tabColor theme="0"/>
    <pageSetUpPr fitToPage="1"/>
  </sheetPr>
  <dimension ref="A1:H80"/>
  <sheetViews>
    <sheetView showGridLines="0" showWhiteSpace="0" view="pageLayout" topLeftCell="A67" zoomScale="70" zoomScaleNormal="100" zoomScalePageLayoutView="70" workbookViewId="0">
      <selection activeCell="B81" sqref="B81"/>
    </sheetView>
  </sheetViews>
  <sheetFormatPr defaultRowHeight="15.75" x14ac:dyDescent="0.25"/>
  <cols>
    <col min="1" max="1" width="40.42578125" style="390" customWidth="1"/>
    <col min="2" max="2" width="15.85546875" style="390" customWidth="1"/>
    <col min="3" max="3" width="19.5703125" style="390" customWidth="1"/>
    <col min="4" max="4" width="18.85546875" style="390" customWidth="1"/>
    <col min="5" max="5" width="16.42578125" style="390" customWidth="1"/>
    <col min="6" max="6" width="16.140625" style="390" customWidth="1"/>
    <col min="7" max="8" width="18" style="390" customWidth="1"/>
    <col min="9" max="254" width="9.140625" style="390"/>
    <col min="255" max="255" width="31.5703125" style="390" customWidth="1"/>
    <col min="256" max="256" width="12.5703125" style="390" customWidth="1"/>
    <col min="257" max="257" width="15.140625" style="390" customWidth="1"/>
    <col min="258" max="258" width="15.85546875" style="390" customWidth="1"/>
    <col min="259" max="259" width="19.5703125" style="390" customWidth="1"/>
    <col min="260" max="260" width="18.85546875" style="390" customWidth="1"/>
    <col min="261" max="261" width="16.42578125" style="390" customWidth="1"/>
    <col min="262" max="262" width="20.28515625" style="390" customWidth="1"/>
    <col min="263" max="263" width="23" style="390" customWidth="1"/>
    <col min="264" max="510" width="9.140625" style="390"/>
    <col min="511" max="511" width="31.5703125" style="390" customWidth="1"/>
    <col min="512" max="512" width="12.5703125" style="390" customWidth="1"/>
    <col min="513" max="513" width="15.140625" style="390" customWidth="1"/>
    <col min="514" max="514" width="15.85546875" style="390" customWidth="1"/>
    <col min="515" max="515" width="19.5703125" style="390" customWidth="1"/>
    <col min="516" max="516" width="18.85546875" style="390" customWidth="1"/>
    <col min="517" max="517" width="16.42578125" style="390" customWidth="1"/>
    <col min="518" max="518" width="20.28515625" style="390" customWidth="1"/>
    <col min="519" max="519" width="23" style="390" customWidth="1"/>
    <col min="520" max="766" width="9.140625" style="390"/>
    <col min="767" max="767" width="31.5703125" style="390" customWidth="1"/>
    <col min="768" max="768" width="12.5703125" style="390" customWidth="1"/>
    <col min="769" max="769" width="15.140625" style="390" customWidth="1"/>
    <col min="770" max="770" width="15.85546875" style="390" customWidth="1"/>
    <col min="771" max="771" width="19.5703125" style="390" customWidth="1"/>
    <col min="772" max="772" width="18.85546875" style="390" customWidth="1"/>
    <col min="773" max="773" width="16.42578125" style="390" customWidth="1"/>
    <col min="774" max="774" width="20.28515625" style="390" customWidth="1"/>
    <col min="775" max="775" width="23" style="390" customWidth="1"/>
    <col min="776" max="1022" width="9.140625" style="390"/>
    <col min="1023" max="1023" width="31.5703125" style="390" customWidth="1"/>
    <col min="1024" max="1024" width="12.5703125" style="390" customWidth="1"/>
    <col min="1025" max="1025" width="15.140625" style="390" customWidth="1"/>
    <col min="1026" max="1026" width="15.85546875" style="390" customWidth="1"/>
    <col min="1027" max="1027" width="19.5703125" style="390" customWidth="1"/>
    <col min="1028" max="1028" width="18.85546875" style="390" customWidth="1"/>
    <col min="1029" max="1029" width="16.42578125" style="390" customWidth="1"/>
    <col min="1030" max="1030" width="20.28515625" style="390" customWidth="1"/>
    <col min="1031" max="1031" width="23" style="390" customWidth="1"/>
    <col min="1032" max="1278" width="9.140625" style="390"/>
    <col min="1279" max="1279" width="31.5703125" style="390" customWidth="1"/>
    <col min="1280" max="1280" width="12.5703125" style="390" customWidth="1"/>
    <col min="1281" max="1281" width="15.140625" style="390" customWidth="1"/>
    <col min="1282" max="1282" width="15.85546875" style="390" customWidth="1"/>
    <col min="1283" max="1283" width="19.5703125" style="390" customWidth="1"/>
    <col min="1284" max="1284" width="18.85546875" style="390" customWidth="1"/>
    <col min="1285" max="1285" width="16.42578125" style="390" customWidth="1"/>
    <col min="1286" max="1286" width="20.28515625" style="390" customWidth="1"/>
    <col min="1287" max="1287" width="23" style="390" customWidth="1"/>
    <col min="1288" max="1534" width="9.140625" style="390"/>
    <col min="1535" max="1535" width="31.5703125" style="390" customWidth="1"/>
    <col min="1536" max="1536" width="12.5703125" style="390" customWidth="1"/>
    <col min="1537" max="1537" width="15.140625" style="390" customWidth="1"/>
    <col min="1538" max="1538" width="15.85546875" style="390" customWidth="1"/>
    <col min="1539" max="1539" width="19.5703125" style="390" customWidth="1"/>
    <col min="1540" max="1540" width="18.85546875" style="390" customWidth="1"/>
    <col min="1541" max="1541" width="16.42578125" style="390" customWidth="1"/>
    <col min="1542" max="1542" width="20.28515625" style="390" customWidth="1"/>
    <col min="1543" max="1543" width="23" style="390" customWidth="1"/>
    <col min="1544" max="1790" width="9.140625" style="390"/>
    <col min="1791" max="1791" width="31.5703125" style="390" customWidth="1"/>
    <col min="1792" max="1792" width="12.5703125" style="390" customWidth="1"/>
    <col min="1793" max="1793" width="15.140625" style="390" customWidth="1"/>
    <col min="1794" max="1794" width="15.85546875" style="390" customWidth="1"/>
    <col min="1795" max="1795" width="19.5703125" style="390" customWidth="1"/>
    <col min="1796" max="1796" width="18.85546875" style="390" customWidth="1"/>
    <col min="1797" max="1797" width="16.42578125" style="390" customWidth="1"/>
    <col min="1798" max="1798" width="20.28515625" style="390" customWidth="1"/>
    <col min="1799" max="1799" width="23" style="390" customWidth="1"/>
    <col min="1800" max="2046" width="9.140625" style="390"/>
    <col min="2047" max="2047" width="31.5703125" style="390" customWidth="1"/>
    <col min="2048" max="2048" width="12.5703125" style="390" customWidth="1"/>
    <col min="2049" max="2049" width="15.140625" style="390" customWidth="1"/>
    <col min="2050" max="2050" width="15.85546875" style="390" customWidth="1"/>
    <col min="2051" max="2051" width="19.5703125" style="390" customWidth="1"/>
    <col min="2052" max="2052" width="18.85546875" style="390" customWidth="1"/>
    <col min="2053" max="2053" width="16.42578125" style="390" customWidth="1"/>
    <col min="2054" max="2054" width="20.28515625" style="390" customWidth="1"/>
    <col min="2055" max="2055" width="23" style="390" customWidth="1"/>
    <col min="2056" max="2302" width="9.140625" style="390"/>
    <col min="2303" max="2303" width="31.5703125" style="390" customWidth="1"/>
    <col min="2304" max="2304" width="12.5703125" style="390" customWidth="1"/>
    <col min="2305" max="2305" width="15.140625" style="390" customWidth="1"/>
    <col min="2306" max="2306" width="15.85546875" style="390" customWidth="1"/>
    <col min="2307" max="2307" width="19.5703125" style="390" customWidth="1"/>
    <col min="2308" max="2308" width="18.85546875" style="390" customWidth="1"/>
    <col min="2309" max="2309" width="16.42578125" style="390" customWidth="1"/>
    <col min="2310" max="2310" width="20.28515625" style="390" customWidth="1"/>
    <col min="2311" max="2311" width="23" style="390" customWidth="1"/>
    <col min="2312" max="2558" width="9.140625" style="390"/>
    <col min="2559" max="2559" width="31.5703125" style="390" customWidth="1"/>
    <col min="2560" max="2560" width="12.5703125" style="390" customWidth="1"/>
    <col min="2561" max="2561" width="15.140625" style="390" customWidth="1"/>
    <col min="2562" max="2562" width="15.85546875" style="390" customWidth="1"/>
    <col min="2563" max="2563" width="19.5703125" style="390" customWidth="1"/>
    <col min="2564" max="2564" width="18.85546875" style="390" customWidth="1"/>
    <col min="2565" max="2565" width="16.42578125" style="390" customWidth="1"/>
    <col min="2566" max="2566" width="20.28515625" style="390" customWidth="1"/>
    <col min="2567" max="2567" width="23" style="390" customWidth="1"/>
    <col min="2568" max="2814" width="9.140625" style="390"/>
    <col min="2815" max="2815" width="31.5703125" style="390" customWidth="1"/>
    <col min="2816" max="2816" width="12.5703125" style="390" customWidth="1"/>
    <col min="2817" max="2817" width="15.140625" style="390" customWidth="1"/>
    <col min="2818" max="2818" width="15.85546875" style="390" customWidth="1"/>
    <col min="2819" max="2819" width="19.5703125" style="390" customWidth="1"/>
    <col min="2820" max="2820" width="18.85546875" style="390" customWidth="1"/>
    <col min="2821" max="2821" width="16.42578125" style="390" customWidth="1"/>
    <col min="2822" max="2822" width="20.28515625" style="390" customWidth="1"/>
    <col min="2823" max="2823" width="23" style="390" customWidth="1"/>
    <col min="2824" max="3070" width="9.140625" style="390"/>
    <col min="3071" max="3071" width="31.5703125" style="390" customWidth="1"/>
    <col min="3072" max="3072" width="12.5703125" style="390" customWidth="1"/>
    <col min="3073" max="3073" width="15.140625" style="390" customWidth="1"/>
    <col min="3074" max="3074" width="15.85546875" style="390" customWidth="1"/>
    <col min="3075" max="3075" width="19.5703125" style="390" customWidth="1"/>
    <col min="3076" max="3076" width="18.85546875" style="390" customWidth="1"/>
    <col min="3077" max="3077" width="16.42578125" style="390" customWidth="1"/>
    <col min="3078" max="3078" width="20.28515625" style="390" customWidth="1"/>
    <col min="3079" max="3079" width="23" style="390" customWidth="1"/>
    <col min="3080" max="3326" width="9.140625" style="390"/>
    <col min="3327" max="3327" width="31.5703125" style="390" customWidth="1"/>
    <col min="3328" max="3328" width="12.5703125" style="390" customWidth="1"/>
    <col min="3329" max="3329" width="15.140625" style="390" customWidth="1"/>
    <col min="3330" max="3330" width="15.85546875" style="390" customWidth="1"/>
    <col min="3331" max="3331" width="19.5703125" style="390" customWidth="1"/>
    <col min="3332" max="3332" width="18.85546875" style="390" customWidth="1"/>
    <col min="3333" max="3333" width="16.42578125" style="390" customWidth="1"/>
    <col min="3334" max="3334" width="20.28515625" style="390" customWidth="1"/>
    <col min="3335" max="3335" width="23" style="390" customWidth="1"/>
    <col min="3336" max="3582" width="9.140625" style="390"/>
    <col min="3583" max="3583" width="31.5703125" style="390" customWidth="1"/>
    <col min="3584" max="3584" width="12.5703125" style="390" customWidth="1"/>
    <col min="3585" max="3585" width="15.140625" style="390" customWidth="1"/>
    <col min="3586" max="3586" width="15.85546875" style="390" customWidth="1"/>
    <col min="3587" max="3587" width="19.5703125" style="390" customWidth="1"/>
    <col min="3588" max="3588" width="18.85546875" style="390" customWidth="1"/>
    <col min="3589" max="3589" width="16.42578125" style="390" customWidth="1"/>
    <col min="3590" max="3590" width="20.28515625" style="390" customWidth="1"/>
    <col min="3591" max="3591" width="23" style="390" customWidth="1"/>
    <col min="3592" max="3838" width="9.140625" style="390"/>
    <col min="3839" max="3839" width="31.5703125" style="390" customWidth="1"/>
    <col min="3840" max="3840" width="12.5703125" style="390" customWidth="1"/>
    <col min="3841" max="3841" width="15.140625" style="390" customWidth="1"/>
    <col min="3842" max="3842" width="15.85546875" style="390" customWidth="1"/>
    <col min="3843" max="3843" width="19.5703125" style="390" customWidth="1"/>
    <col min="3844" max="3844" width="18.85546875" style="390" customWidth="1"/>
    <col min="3845" max="3845" width="16.42578125" style="390" customWidth="1"/>
    <col min="3846" max="3846" width="20.28515625" style="390" customWidth="1"/>
    <col min="3847" max="3847" width="23" style="390" customWidth="1"/>
    <col min="3848" max="4094" width="9.140625" style="390"/>
    <col min="4095" max="4095" width="31.5703125" style="390" customWidth="1"/>
    <col min="4096" max="4096" width="12.5703125" style="390" customWidth="1"/>
    <col min="4097" max="4097" width="15.140625" style="390" customWidth="1"/>
    <col min="4098" max="4098" width="15.85546875" style="390" customWidth="1"/>
    <col min="4099" max="4099" width="19.5703125" style="390" customWidth="1"/>
    <col min="4100" max="4100" width="18.85546875" style="390" customWidth="1"/>
    <col min="4101" max="4101" width="16.42578125" style="390" customWidth="1"/>
    <col min="4102" max="4102" width="20.28515625" style="390" customWidth="1"/>
    <col min="4103" max="4103" width="23" style="390" customWidth="1"/>
    <col min="4104" max="4350" width="9.140625" style="390"/>
    <col min="4351" max="4351" width="31.5703125" style="390" customWidth="1"/>
    <col min="4352" max="4352" width="12.5703125" style="390" customWidth="1"/>
    <col min="4353" max="4353" width="15.140625" style="390" customWidth="1"/>
    <col min="4354" max="4354" width="15.85546875" style="390" customWidth="1"/>
    <col min="4355" max="4355" width="19.5703125" style="390" customWidth="1"/>
    <col min="4356" max="4356" width="18.85546875" style="390" customWidth="1"/>
    <col min="4357" max="4357" width="16.42578125" style="390" customWidth="1"/>
    <col min="4358" max="4358" width="20.28515625" style="390" customWidth="1"/>
    <col min="4359" max="4359" width="23" style="390" customWidth="1"/>
    <col min="4360" max="4606" width="9.140625" style="390"/>
    <col min="4607" max="4607" width="31.5703125" style="390" customWidth="1"/>
    <col min="4608" max="4608" width="12.5703125" style="390" customWidth="1"/>
    <col min="4609" max="4609" width="15.140625" style="390" customWidth="1"/>
    <col min="4610" max="4610" width="15.85546875" style="390" customWidth="1"/>
    <col min="4611" max="4611" width="19.5703125" style="390" customWidth="1"/>
    <col min="4612" max="4612" width="18.85546875" style="390" customWidth="1"/>
    <col min="4613" max="4613" width="16.42578125" style="390" customWidth="1"/>
    <col min="4614" max="4614" width="20.28515625" style="390" customWidth="1"/>
    <col min="4615" max="4615" width="23" style="390" customWidth="1"/>
    <col min="4616" max="4862" width="9.140625" style="390"/>
    <col min="4863" max="4863" width="31.5703125" style="390" customWidth="1"/>
    <col min="4864" max="4864" width="12.5703125" style="390" customWidth="1"/>
    <col min="4865" max="4865" width="15.140625" style="390" customWidth="1"/>
    <col min="4866" max="4866" width="15.85546875" style="390" customWidth="1"/>
    <col min="4867" max="4867" width="19.5703125" style="390" customWidth="1"/>
    <col min="4868" max="4868" width="18.85546875" style="390" customWidth="1"/>
    <col min="4869" max="4869" width="16.42578125" style="390" customWidth="1"/>
    <col min="4870" max="4870" width="20.28515625" style="390" customWidth="1"/>
    <col min="4871" max="4871" width="23" style="390" customWidth="1"/>
    <col min="4872" max="5118" width="9.140625" style="390"/>
    <col min="5119" max="5119" width="31.5703125" style="390" customWidth="1"/>
    <col min="5120" max="5120" width="12.5703125" style="390" customWidth="1"/>
    <col min="5121" max="5121" width="15.140625" style="390" customWidth="1"/>
    <col min="5122" max="5122" width="15.85546875" style="390" customWidth="1"/>
    <col min="5123" max="5123" width="19.5703125" style="390" customWidth="1"/>
    <col min="5124" max="5124" width="18.85546875" style="390" customWidth="1"/>
    <col min="5125" max="5125" width="16.42578125" style="390" customWidth="1"/>
    <col min="5126" max="5126" width="20.28515625" style="390" customWidth="1"/>
    <col min="5127" max="5127" width="23" style="390" customWidth="1"/>
    <col min="5128" max="5374" width="9.140625" style="390"/>
    <col min="5375" max="5375" width="31.5703125" style="390" customWidth="1"/>
    <col min="5376" max="5376" width="12.5703125" style="390" customWidth="1"/>
    <col min="5377" max="5377" width="15.140625" style="390" customWidth="1"/>
    <col min="5378" max="5378" width="15.85546875" style="390" customWidth="1"/>
    <col min="5379" max="5379" width="19.5703125" style="390" customWidth="1"/>
    <col min="5380" max="5380" width="18.85546875" style="390" customWidth="1"/>
    <col min="5381" max="5381" width="16.42578125" style="390" customWidth="1"/>
    <col min="5382" max="5382" width="20.28515625" style="390" customWidth="1"/>
    <col min="5383" max="5383" width="23" style="390" customWidth="1"/>
    <col min="5384" max="5630" width="9.140625" style="390"/>
    <col min="5631" max="5631" width="31.5703125" style="390" customWidth="1"/>
    <col min="5632" max="5632" width="12.5703125" style="390" customWidth="1"/>
    <col min="5633" max="5633" width="15.140625" style="390" customWidth="1"/>
    <col min="5634" max="5634" width="15.85546875" style="390" customWidth="1"/>
    <col min="5635" max="5635" width="19.5703125" style="390" customWidth="1"/>
    <col min="5636" max="5636" width="18.85546875" style="390" customWidth="1"/>
    <col min="5637" max="5637" width="16.42578125" style="390" customWidth="1"/>
    <col min="5638" max="5638" width="20.28515625" style="390" customWidth="1"/>
    <col min="5639" max="5639" width="23" style="390" customWidth="1"/>
    <col min="5640" max="5886" width="9.140625" style="390"/>
    <col min="5887" max="5887" width="31.5703125" style="390" customWidth="1"/>
    <col min="5888" max="5888" width="12.5703125" style="390" customWidth="1"/>
    <col min="5889" max="5889" width="15.140625" style="390" customWidth="1"/>
    <col min="5890" max="5890" width="15.85546875" style="390" customWidth="1"/>
    <col min="5891" max="5891" width="19.5703125" style="390" customWidth="1"/>
    <col min="5892" max="5892" width="18.85546875" style="390" customWidth="1"/>
    <col min="5893" max="5893" width="16.42578125" style="390" customWidth="1"/>
    <col min="5894" max="5894" width="20.28515625" style="390" customWidth="1"/>
    <col min="5895" max="5895" width="23" style="390" customWidth="1"/>
    <col min="5896" max="6142" width="9.140625" style="390"/>
    <col min="6143" max="6143" width="31.5703125" style="390" customWidth="1"/>
    <col min="6144" max="6144" width="12.5703125" style="390" customWidth="1"/>
    <col min="6145" max="6145" width="15.140625" style="390" customWidth="1"/>
    <col min="6146" max="6146" width="15.85546875" style="390" customWidth="1"/>
    <col min="6147" max="6147" width="19.5703125" style="390" customWidth="1"/>
    <col min="6148" max="6148" width="18.85546875" style="390" customWidth="1"/>
    <col min="6149" max="6149" width="16.42578125" style="390" customWidth="1"/>
    <col min="6150" max="6150" width="20.28515625" style="390" customWidth="1"/>
    <col min="6151" max="6151" width="23" style="390" customWidth="1"/>
    <col min="6152" max="6398" width="9.140625" style="390"/>
    <col min="6399" max="6399" width="31.5703125" style="390" customWidth="1"/>
    <col min="6400" max="6400" width="12.5703125" style="390" customWidth="1"/>
    <col min="6401" max="6401" width="15.140625" style="390" customWidth="1"/>
    <col min="6402" max="6402" width="15.85546875" style="390" customWidth="1"/>
    <col min="6403" max="6403" width="19.5703125" style="390" customWidth="1"/>
    <col min="6404" max="6404" width="18.85546875" style="390" customWidth="1"/>
    <col min="6405" max="6405" width="16.42578125" style="390" customWidth="1"/>
    <col min="6406" max="6406" width="20.28515625" style="390" customWidth="1"/>
    <col min="6407" max="6407" width="23" style="390" customWidth="1"/>
    <col min="6408" max="6654" width="9.140625" style="390"/>
    <col min="6655" max="6655" width="31.5703125" style="390" customWidth="1"/>
    <col min="6656" max="6656" width="12.5703125" style="390" customWidth="1"/>
    <col min="6657" max="6657" width="15.140625" style="390" customWidth="1"/>
    <col min="6658" max="6658" width="15.85546875" style="390" customWidth="1"/>
    <col min="6659" max="6659" width="19.5703125" style="390" customWidth="1"/>
    <col min="6660" max="6660" width="18.85546875" style="390" customWidth="1"/>
    <col min="6661" max="6661" width="16.42578125" style="390" customWidth="1"/>
    <col min="6662" max="6662" width="20.28515625" style="390" customWidth="1"/>
    <col min="6663" max="6663" width="23" style="390" customWidth="1"/>
    <col min="6664" max="6910" width="9.140625" style="390"/>
    <col min="6911" max="6911" width="31.5703125" style="390" customWidth="1"/>
    <col min="6912" max="6912" width="12.5703125" style="390" customWidth="1"/>
    <col min="6913" max="6913" width="15.140625" style="390" customWidth="1"/>
    <col min="6914" max="6914" width="15.85546875" style="390" customWidth="1"/>
    <col min="6915" max="6915" width="19.5703125" style="390" customWidth="1"/>
    <col min="6916" max="6916" width="18.85546875" style="390" customWidth="1"/>
    <col min="6917" max="6917" width="16.42578125" style="390" customWidth="1"/>
    <col min="6918" max="6918" width="20.28515625" style="390" customWidth="1"/>
    <col min="6919" max="6919" width="23" style="390" customWidth="1"/>
    <col min="6920" max="7166" width="9.140625" style="390"/>
    <col min="7167" max="7167" width="31.5703125" style="390" customWidth="1"/>
    <col min="7168" max="7168" width="12.5703125" style="390" customWidth="1"/>
    <col min="7169" max="7169" width="15.140625" style="390" customWidth="1"/>
    <col min="7170" max="7170" width="15.85546875" style="390" customWidth="1"/>
    <col min="7171" max="7171" width="19.5703125" style="390" customWidth="1"/>
    <col min="7172" max="7172" width="18.85546875" style="390" customWidth="1"/>
    <col min="7173" max="7173" width="16.42578125" style="390" customWidth="1"/>
    <col min="7174" max="7174" width="20.28515625" style="390" customWidth="1"/>
    <col min="7175" max="7175" width="23" style="390" customWidth="1"/>
    <col min="7176" max="7422" width="9.140625" style="390"/>
    <col min="7423" max="7423" width="31.5703125" style="390" customWidth="1"/>
    <col min="7424" max="7424" width="12.5703125" style="390" customWidth="1"/>
    <col min="7425" max="7425" width="15.140625" style="390" customWidth="1"/>
    <col min="7426" max="7426" width="15.85546875" style="390" customWidth="1"/>
    <col min="7427" max="7427" width="19.5703125" style="390" customWidth="1"/>
    <col min="7428" max="7428" width="18.85546875" style="390" customWidth="1"/>
    <col min="7429" max="7429" width="16.42578125" style="390" customWidth="1"/>
    <col min="7430" max="7430" width="20.28515625" style="390" customWidth="1"/>
    <col min="7431" max="7431" width="23" style="390" customWidth="1"/>
    <col min="7432" max="7678" width="9.140625" style="390"/>
    <col min="7679" max="7679" width="31.5703125" style="390" customWidth="1"/>
    <col min="7680" max="7680" width="12.5703125" style="390" customWidth="1"/>
    <col min="7681" max="7681" width="15.140625" style="390" customWidth="1"/>
    <col min="7682" max="7682" width="15.85546875" style="390" customWidth="1"/>
    <col min="7683" max="7683" width="19.5703125" style="390" customWidth="1"/>
    <col min="7684" max="7684" width="18.85546875" style="390" customWidth="1"/>
    <col min="7685" max="7685" width="16.42578125" style="390" customWidth="1"/>
    <col min="7686" max="7686" width="20.28515625" style="390" customWidth="1"/>
    <col min="7687" max="7687" width="23" style="390" customWidth="1"/>
    <col min="7688" max="7934" width="9.140625" style="390"/>
    <col min="7935" max="7935" width="31.5703125" style="390" customWidth="1"/>
    <col min="7936" max="7936" width="12.5703125" style="390" customWidth="1"/>
    <col min="7937" max="7937" width="15.140625" style="390" customWidth="1"/>
    <col min="7938" max="7938" width="15.85546875" style="390" customWidth="1"/>
    <col min="7939" max="7939" width="19.5703125" style="390" customWidth="1"/>
    <col min="7940" max="7940" width="18.85546875" style="390" customWidth="1"/>
    <col min="7941" max="7941" width="16.42578125" style="390" customWidth="1"/>
    <col min="7942" max="7942" width="20.28515625" style="390" customWidth="1"/>
    <col min="7943" max="7943" width="23" style="390" customWidth="1"/>
    <col min="7944" max="8190" width="9.140625" style="390"/>
    <col min="8191" max="8191" width="31.5703125" style="390" customWidth="1"/>
    <col min="8192" max="8192" width="12.5703125" style="390" customWidth="1"/>
    <col min="8193" max="8193" width="15.140625" style="390" customWidth="1"/>
    <col min="8194" max="8194" width="15.85546875" style="390" customWidth="1"/>
    <col min="8195" max="8195" width="19.5703125" style="390" customWidth="1"/>
    <col min="8196" max="8196" width="18.85546875" style="390" customWidth="1"/>
    <col min="8197" max="8197" width="16.42578125" style="390" customWidth="1"/>
    <col min="8198" max="8198" width="20.28515625" style="390" customWidth="1"/>
    <col min="8199" max="8199" width="23" style="390" customWidth="1"/>
    <col min="8200" max="8446" width="9.140625" style="390"/>
    <col min="8447" max="8447" width="31.5703125" style="390" customWidth="1"/>
    <col min="8448" max="8448" width="12.5703125" style="390" customWidth="1"/>
    <col min="8449" max="8449" width="15.140625" style="390" customWidth="1"/>
    <col min="8450" max="8450" width="15.85546875" style="390" customWidth="1"/>
    <col min="8451" max="8451" width="19.5703125" style="390" customWidth="1"/>
    <col min="8452" max="8452" width="18.85546875" style="390" customWidth="1"/>
    <col min="8453" max="8453" width="16.42578125" style="390" customWidth="1"/>
    <col min="8454" max="8454" width="20.28515625" style="390" customWidth="1"/>
    <col min="8455" max="8455" width="23" style="390" customWidth="1"/>
    <col min="8456" max="8702" width="9.140625" style="390"/>
    <col min="8703" max="8703" width="31.5703125" style="390" customWidth="1"/>
    <col min="8704" max="8704" width="12.5703125" style="390" customWidth="1"/>
    <col min="8705" max="8705" width="15.140625" style="390" customWidth="1"/>
    <col min="8706" max="8706" width="15.85546875" style="390" customWidth="1"/>
    <col min="8707" max="8707" width="19.5703125" style="390" customWidth="1"/>
    <col min="8708" max="8708" width="18.85546875" style="390" customWidth="1"/>
    <col min="8709" max="8709" width="16.42578125" style="390" customWidth="1"/>
    <col min="8710" max="8710" width="20.28515625" style="390" customWidth="1"/>
    <col min="8711" max="8711" width="23" style="390" customWidth="1"/>
    <col min="8712" max="8958" width="9.140625" style="390"/>
    <col min="8959" max="8959" width="31.5703125" style="390" customWidth="1"/>
    <col min="8960" max="8960" width="12.5703125" style="390" customWidth="1"/>
    <col min="8961" max="8961" width="15.140625" style="390" customWidth="1"/>
    <col min="8962" max="8962" width="15.85546875" style="390" customWidth="1"/>
    <col min="8963" max="8963" width="19.5703125" style="390" customWidth="1"/>
    <col min="8964" max="8964" width="18.85546875" style="390" customWidth="1"/>
    <col min="8965" max="8965" width="16.42578125" style="390" customWidth="1"/>
    <col min="8966" max="8966" width="20.28515625" style="390" customWidth="1"/>
    <col min="8967" max="8967" width="23" style="390" customWidth="1"/>
    <col min="8968" max="9214" width="9.140625" style="390"/>
    <col min="9215" max="9215" width="31.5703125" style="390" customWidth="1"/>
    <col min="9216" max="9216" width="12.5703125" style="390" customWidth="1"/>
    <col min="9217" max="9217" width="15.140625" style="390" customWidth="1"/>
    <col min="9218" max="9218" width="15.85546875" style="390" customWidth="1"/>
    <col min="9219" max="9219" width="19.5703125" style="390" customWidth="1"/>
    <col min="9220" max="9220" width="18.85546875" style="390" customWidth="1"/>
    <col min="9221" max="9221" width="16.42578125" style="390" customWidth="1"/>
    <col min="9222" max="9222" width="20.28515625" style="390" customWidth="1"/>
    <col min="9223" max="9223" width="23" style="390" customWidth="1"/>
    <col min="9224" max="9470" width="9.140625" style="390"/>
    <col min="9471" max="9471" width="31.5703125" style="390" customWidth="1"/>
    <col min="9472" max="9472" width="12.5703125" style="390" customWidth="1"/>
    <col min="9473" max="9473" width="15.140625" style="390" customWidth="1"/>
    <col min="9474" max="9474" width="15.85546875" style="390" customWidth="1"/>
    <col min="9475" max="9475" width="19.5703125" style="390" customWidth="1"/>
    <col min="9476" max="9476" width="18.85546875" style="390" customWidth="1"/>
    <col min="9477" max="9477" width="16.42578125" style="390" customWidth="1"/>
    <col min="9478" max="9478" width="20.28515625" style="390" customWidth="1"/>
    <col min="9479" max="9479" width="23" style="390" customWidth="1"/>
    <col min="9480" max="9726" width="9.140625" style="390"/>
    <col min="9727" max="9727" width="31.5703125" style="390" customWidth="1"/>
    <col min="9728" max="9728" width="12.5703125" style="390" customWidth="1"/>
    <col min="9729" max="9729" width="15.140625" style="390" customWidth="1"/>
    <col min="9730" max="9730" width="15.85546875" style="390" customWidth="1"/>
    <col min="9731" max="9731" width="19.5703125" style="390" customWidth="1"/>
    <col min="9732" max="9732" width="18.85546875" style="390" customWidth="1"/>
    <col min="9733" max="9733" width="16.42578125" style="390" customWidth="1"/>
    <col min="9734" max="9734" width="20.28515625" style="390" customWidth="1"/>
    <col min="9735" max="9735" width="23" style="390" customWidth="1"/>
    <col min="9736" max="9982" width="9.140625" style="390"/>
    <col min="9983" max="9983" width="31.5703125" style="390" customWidth="1"/>
    <col min="9984" max="9984" width="12.5703125" style="390" customWidth="1"/>
    <col min="9985" max="9985" width="15.140625" style="390" customWidth="1"/>
    <col min="9986" max="9986" width="15.85546875" style="390" customWidth="1"/>
    <col min="9987" max="9987" width="19.5703125" style="390" customWidth="1"/>
    <col min="9988" max="9988" width="18.85546875" style="390" customWidth="1"/>
    <col min="9989" max="9989" width="16.42578125" style="390" customWidth="1"/>
    <col min="9990" max="9990" width="20.28515625" style="390" customWidth="1"/>
    <col min="9991" max="9991" width="23" style="390" customWidth="1"/>
    <col min="9992" max="10238" width="9.140625" style="390"/>
    <col min="10239" max="10239" width="31.5703125" style="390" customWidth="1"/>
    <col min="10240" max="10240" width="12.5703125" style="390" customWidth="1"/>
    <col min="10241" max="10241" width="15.140625" style="390" customWidth="1"/>
    <col min="10242" max="10242" width="15.85546875" style="390" customWidth="1"/>
    <col min="10243" max="10243" width="19.5703125" style="390" customWidth="1"/>
    <col min="10244" max="10244" width="18.85546875" style="390" customWidth="1"/>
    <col min="10245" max="10245" width="16.42578125" style="390" customWidth="1"/>
    <col min="10246" max="10246" width="20.28515625" style="390" customWidth="1"/>
    <col min="10247" max="10247" width="23" style="390" customWidth="1"/>
    <col min="10248" max="10494" width="9.140625" style="390"/>
    <col min="10495" max="10495" width="31.5703125" style="390" customWidth="1"/>
    <col min="10496" max="10496" width="12.5703125" style="390" customWidth="1"/>
    <col min="10497" max="10497" width="15.140625" style="390" customWidth="1"/>
    <col min="10498" max="10498" width="15.85546875" style="390" customWidth="1"/>
    <col min="10499" max="10499" width="19.5703125" style="390" customWidth="1"/>
    <col min="10500" max="10500" width="18.85546875" style="390" customWidth="1"/>
    <col min="10501" max="10501" width="16.42578125" style="390" customWidth="1"/>
    <col min="10502" max="10502" width="20.28515625" style="390" customWidth="1"/>
    <col min="10503" max="10503" width="23" style="390" customWidth="1"/>
    <col min="10504" max="10750" width="9.140625" style="390"/>
    <col min="10751" max="10751" width="31.5703125" style="390" customWidth="1"/>
    <col min="10752" max="10752" width="12.5703125" style="390" customWidth="1"/>
    <col min="10753" max="10753" width="15.140625" style="390" customWidth="1"/>
    <col min="10754" max="10754" width="15.85546875" style="390" customWidth="1"/>
    <col min="10755" max="10755" width="19.5703125" style="390" customWidth="1"/>
    <col min="10756" max="10756" width="18.85546875" style="390" customWidth="1"/>
    <col min="10757" max="10757" width="16.42578125" style="390" customWidth="1"/>
    <col min="10758" max="10758" width="20.28515625" style="390" customWidth="1"/>
    <col min="10759" max="10759" width="23" style="390" customWidth="1"/>
    <col min="10760" max="11006" width="9.140625" style="390"/>
    <col min="11007" max="11007" width="31.5703125" style="390" customWidth="1"/>
    <col min="11008" max="11008" width="12.5703125" style="390" customWidth="1"/>
    <col min="11009" max="11009" width="15.140625" style="390" customWidth="1"/>
    <col min="11010" max="11010" width="15.85546875" style="390" customWidth="1"/>
    <col min="11011" max="11011" width="19.5703125" style="390" customWidth="1"/>
    <col min="11012" max="11012" width="18.85546875" style="390" customWidth="1"/>
    <col min="11013" max="11013" width="16.42578125" style="390" customWidth="1"/>
    <col min="11014" max="11014" width="20.28515625" style="390" customWidth="1"/>
    <col min="11015" max="11015" width="23" style="390" customWidth="1"/>
    <col min="11016" max="11262" width="9.140625" style="390"/>
    <col min="11263" max="11263" width="31.5703125" style="390" customWidth="1"/>
    <col min="11264" max="11264" width="12.5703125" style="390" customWidth="1"/>
    <col min="11265" max="11265" width="15.140625" style="390" customWidth="1"/>
    <col min="11266" max="11266" width="15.85546875" style="390" customWidth="1"/>
    <col min="11267" max="11267" width="19.5703125" style="390" customWidth="1"/>
    <col min="11268" max="11268" width="18.85546875" style="390" customWidth="1"/>
    <col min="11269" max="11269" width="16.42578125" style="390" customWidth="1"/>
    <col min="11270" max="11270" width="20.28515625" style="390" customWidth="1"/>
    <col min="11271" max="11271" width="23" style="390" customWidth="1"/>
    <col min="11272" max="11518" width="9.140625" style="390"/>
    <col min="11519" max="11519" width="31.5703125" style="390" customWidth="1"/>
    <col min="11520" max="11520" width="12.5703125" style="390" customWidth="1"/>
    <col min="11521" max="11521" width="15.140625" style="390" customWidth="1"/>
    <col min="11522" max="11522" width="15.85546875" style="390" customWidth="1"/>
    <col min="11523" max="11523" width="19.5703125" style="390" customWidth="1"/>
    <col min="11524" max="11524" width="18.85546875" style="390" customWidth="1"/>
    <col min="11525" max="11525" width="16.42578125" style="390" customWidth="1"/>
    <col min="11526" max="11526" width="20.28515625" style="390" customWidth="1"/>
    <col min="11527" max="11527" width="23" style="390" customWidth="1"/>
    <col min="11528" max="11774" width="9.140625" style="390"/>
    <col min="11775" max="11775" width="31.5703125" style="390" customWidth="1"/>
    <col min="11776" max="11776" width="12.5703125" style="390" customWidth="1"/>
    <col min="11777" max="11777" width="15.140625" style="390" customWidth="1"/>
    <col min="11778" max="11778" width="15.85546875" style="390" customWidth="1"/>
    <col min="11779" max="11779" width="19.5703125" style="390" customWidth="1"/>
    <col min="11780" max="11780" width="18.85546875" style="390" customWidth="1"/>
    <col min="11781" max="11781" width="16.42578125" style="390" customWidth="1"/>
    <col min="11782" max="11782" width="20.28515625" style="390" customWidth="1"/>
    <col min="11783" max="11783" width="23" style="390" customWidth="1"/>
    <col min="11784" max="12030" width="9.140625" style="390"/>
    <col min="12031" max="12031" width="31.5703125" style="390" customWidth="1"/>
    <col min="12032" max="12032" width="12.5703125" style="390" customWidth="1"/>
    <col min="12033" max="12033" width="15.140625" style="390" customWidth="1"/>
    <col min="12034" max="12034" width="15.85546875" style="390" customWidth="1"/>
    <col min="12035" max="12035" width="19.5703125" style="390" customWidth="1"/>
    <col min="12036" max="12036" width="18.85546875" style="390" customWidth="1"/>
    <col min="12037" max="12037" width="16.42578125" style="390" customWidth="1"/>
    <col min="12038" max="12038" width="20.28515625" style="390" customWidth="1"/>
    <col min="12039" max="12039" width="23" style="390" customWidth="1"/>
    <col min="12040" max="12286" width="9.140625" style="390"/>
    <col min="12287" max="12287" width="31.5703125" style="390" customWidth="1"/>
    <col min="12288" max="12288" width="12.5703125" style="390" customWidth="1"/>
    <col min="12289" max="12289" width="15.140625" style="390" customWidth="1"/>
    <col min="12290" max="12290" width="15.85546875" style="390" customWidth="1"/>
    <col min="12291" max="12291" width="19.5703125" style="390" customWidth="1"/>
    <col min="12292" max="12292" width="18.85546875" style="390" customWidth="1"/>
    <col min="12293" max="12293" width="16.42578125" style="390" customWidth="1"/>
    <col min="12294" max="12294" width="20.28515625" style="390" customWidth="1"/>
    <col min="12295" max="12295" width="23" style="390" customWidth="1"/>
    <col min="12296" max="12542" width="9.140625" style="390"/>
    <col min="12543" max="12543" width="31.5703125" style="390" customWidth="1"/>
    <col min="12544" max="12544" width="12.5703125" style="390" customWidth="1"/>
    <col min="12545" max="12545" width="15.140625" style="390" customWidth="1"/>
    <col min="12546" max="12546" width="15.85546875" style="390" customWidth="1"/>
    <col min="12547" max="12547" width="19.5703125" style="390" customWidth="1"/>
    <col min="12548" max="12548" width="18.85546875" style="390" customWidth="1"/>
    <col min="12549" max="12549" width="16.42578125" style="390" customWidth="1"/>
    <col min="12550" max="12550" width="20.28515625" style="390" customWidth="1"/>
    <col min="12551" max="12551" width="23" style="390" customWidth="1"/>
    <col min="12552" max="12798" width="9.140625" style="390"/>
    <col min="12799" max="12799" width="31.5703125" style="390" customWidth="1"/>
    <col min="12800" max="12800" width="12.5703125" style="390" customWidth="1"/>
    <col min="12801" max="12801" width="15.140625" style="390" customWidth="1"/>
    <col min="12802" max="12802" width="15.85546875" style="390" customWidth="1"/>
    <col min="12803" max="12803" width="19.5703125" style="390" customWidth="1"/>
    <col min="12804" max="12804" width="18.85546875" style="390" customWidth="1"/>
    <col min="12805" max="12805" width="16.42578125" style="390" customWidth="1"/>
    <col min="12806" max="12806" width="20.28515625" style="390" customWidth="1"/>
    <col min="12807" max="12807" width="23" style="390" customWidth="1"/>
    <col min="12808" max="13054" width="9.140625" style="390"/>
    <col min="13055" max="13055" width="31.5703125" style="390" customWidth="1"/>
    <col min="13056" max="13056" width="12.5703125" style="390" customWidth="1"/>
    <col min="13057" max="13057" width="15.140625" style="390" customWidth="1"/>
    <col min="13058" max="13058" width="15.85546875" style="390" customWidth="1"/>
    <col min="13059" max="13059" width="19.5703125" style="390" customWidth="1"/>
    <col min="13060" max="13060" width="18.85546875" style="390" customWidth="1"/>
    <col min="13061" max="13061" width="16.42578125" style="390" customWidth="1"/>
    <col min="13062" max="13062" width="20.28515625" style="390" customWidth="1"/>
    <col min="13063" max="13063" width="23" style="390" customWidth="1"/>
    <col min="13064" max="13310" width="9.140625" style="390"/>
    <col min="13311" max="13311" width="31.5703125" style="390" customWidth="1"/>
    <col min="13312" max="13312" width="12.5703125" style="390" customWidth="1"/>
    <col min="13313" max="13313" width="15.140625" style="390" customWidth="1"/>
    <col min="13314" max="13314" width="15.85546875" style="390" customWidth="1"/>
    <col min="13315" max="13315" width="19.5703125" style="390" customWidth="1"/>
    <col min="13316" max="13316" width="18.85546875" style="390" customWidth="1"/>
    <col min="13317" max="13317" width="16.42578125" style="390" customWidth="1"/>
    <col min="13318" max="13318" width="20.28515625" style="390" customWidth="1"/>
    <col min="13319" max="13319" width="23" style="390" customWidth="1"/>
    <col min="13320" max="13566" width="9.140625" style="390"/>
    <col min="13567" max="13567" width="31.5703125" style="390" customWidth="1"/>
    <col min="13568" max="13568" width="12.5703125" style="390" customWidth="1"/>
    <col min="13569" max="13569" width="15.140625" style="390" customWidth="1"/>
    <col min="13570" max="13570" width="15.85546875" style="390" customWidth="1"/>
    <col min="13571" max="13571" width="19.5703125" style="390" customWidth="1"/>
    <col min="13572" max="13572" width="18.85546875" style="390" customWidth="1"/>
    <col min="13573" max="13573" width="16.42578125" style="390" customWidth="1"/>
    <col min="13574" max="13574" width="20.28515625" style="390" customWidth="1"/>
    <col min="13575" max="13575" width="23" style="390" customWidth="1"/>
    <col min="13576" max="13822" width="9.140625" style="390"/>
    <col min="13823" max="13823" width="31.5703125" style="390" customWidth="1"/>
    <col min="13824" max="13824" width="12.5703125" style="390" customWidth="1"/>
    <col min="13825" max="13825" width="15.140625" style="390" customWidth="1"/>
    <col min="13826" max="13826" width="15.85546875" style="390" customWidth="1"/>
    <col min="13827" max="13827" width="19.5703125" style="390" customWidth="1"/>
    <col min="13828" max="13828" width="18.85546875" style="390" customWidth="1"/>
    <col min="13829" max="13829" width="16.42578125" style="390" customWidth="1"/>
    <col min="13830" max="13830" width="20.28515625" style="390" customWidth="1"/>
    <col min="13831" max="13831" width="23" style="390" customWidth="1"/>
    <col min="13832" max="14078" width="9.140625" style="390"/>
    <col min="14079" max="14079" width="31.5703125" style="390" customWidth="1"/>
    <col min="14080" max="14080" width="12.5703125" style="390" customWidth="1"/>
    <col min="14081" max="14081" width="15.140625" style="390" customWidth="1"/>
    <col min="14082" max="14082" width="15.85546875" style="390" customWidth="1"/>
    <col min="14083" max="14083" width="19.5703125" style="390" customWidth="1"/>
    <col min="14084" max="14084" width="18.85546875" style="390" customWidth="1"/>
    <col min="14085" max="14085" width="16.42578125" style="390" customWidth="1"/>
    <col min="14086" max="14086" width="20.28515625" style="390" customWidth="1"/>
    <col min="14087" max="14087" width="23" style="390" customWidth="1"/>
    <col min="14088" max="14334" width="9.140625" style="390"/>
    <col min="14335" max="14335" width="31.5703125" style="390" customWidth="1"/>
    <col min="14336" max="14336" width="12.5703125" style="390" customWidth="1"/>
    <col min="14337" max="14337" width="15.140625" style="390" customWidth="1"/>
    <col min="14338" max="14338" width="15.85546875" style="390" customWidth="1"/>
    <col min="14339" max="14339" width="19.5703125" style="390" customWidth="1"/>
    <col min="14340" max="14340" width="18.85546875" style="390" customWidth="1"/>
    <col min="14341" max="14341" width="16.42578125" style="390" customWidth="1"/>
    <col min="14342" max="14342" width="20.28515625" style="390" customWidth="1"/>
    <col min="14343" max="14343" width="23" style="390" customWidth="1"/>
    <col min="14344" max="14590" width="9.140625" style="390"/>
    <col min="14591" max="14591" width="31.5703125" style="390" customWidth="1"/>
    <col min="14592" max="14592" width="12.5703125" style="390" customWidth="1"/>
    <col min="14593" max="14593" width="15.140625" style="390" customWidth="1"/>
    <col min="14594" max="14594" width="15.85546875" style="390" customWidth="1"/>
    <col min="14595" max="14595" width="19.5703125" style="390" customWidth="1"/>
    <col min="14596" max="14596" width="18.85546875" style="390" customWidth="1"/>
    <col min="14597" max="14597" width="16.42578125" style="390" customWidth="1"/>
    <col min="14598" max="14598" width="20.28515625" style="390" customWidth="1"/>
    <col min="14599" max="14599" width="23" style="390" customWidth="1"/>
    <col min="14600" max="14846" width="9.140625" style="390"/>
    <col min="14847" max="14847" width="31.5703125" style="390" customWidth="1"/>
    <col min="14848" max="14848" width="12.5703125" style="390" customWidth="1"/>
    <col min="14849" max="14849" width="15.140625" style="390" customWidth="1"/>
    <col min="14850" max="14850" width="15.85546875" style="390" customWidth="1"/>
    <col min="14851" max="14851" width="19.5703125" style="390" customWidth="1"/>
    <col min="14852" max="14852" width="18.85546875" style="390" customWidth="1"/>
    <col min="14853" max="14853" width="16.42578125" style="390" customWidth="1"/>
    <col min="14854" max="14854" width="20.28515625" style="390" customWidth="1"/>
    <col min="14855" max="14855" width="23" style="390" customWidth="1"/>
    <col min="14856" max="15102" width="9.140625" style="390"/>
    <col min="15103" max="15103" width="31.5703125" style="390" customWidth="1"/>
    <col min="15104" max="15104" width="12.5703125" style="390" customWidth="1"/>
    <col min="15105" max="15105" width="15.140625" style="390" customWidth="1"/>
    <col min="15106" max="15106" width="15.85546875" style="390" customWidth="1"/>
    <col min="15107" max="15107" width="19.5703125" style="390" customWidth="1"/>
    <col min="15108" max="15108" width="18.85546875" style="390" customWidth="1"/>
    <col min="15109" max="15109" width="16.42578125" style="390" customWidth="1"/>
    <col min="15110" max="15110" width="20.28515625" style="390" customWidth="1"/>
    <col min="15111" max="15111" width="23" style="390" customWidth="1"/>
    <col min="15112" max="15358" width="9.140625" style="390"/>
    <col min="15359" max="15359" width="31.5703125" style="390" customWidth="1"/>
    <col min="15360" max="15360" width="12.5703125" style="390" customWidth="1"/>
    <col min="15361" max="15361" width="15.140625" style="390" customWidth="1"/>
    <col min="15362" max="15362" width="15.85546875" style="390" customWidth="1"/>
    <col min="15363" max="15363" width="19.5703125" style="390" customWidth="1"/>
    <col min="15364" max="15364" width="18.85546875" style="390" customWidth="1"/>
    <col min="15365" max="15365" width="16.42578125" style="390" customWidth="1"/>
    <col min="15366" max="15366" width="20.28515625" style="390" customWidth="1"/>
    <col min="15367" max="15367" width="23" style="390" customWidth="1"/>
    <col min="15368" max="15614" width="9.140625" style="390"/>
    <col min="15615" max="15615" width="31.5703125" style="390" customWidth="1"/>
    <col min="15616" max="15616" width="12.5703125" style="390" customWidth="1"/>
    <col min="15617" max="15617" width="15.140625" style="390" customWidth="1"/>
    <col min="15618" max="15618" width="15.85546875" style="390" customWidth="1"/>
    <col min="15619" max="15619" width="19.5703125" style="390" customWidth="1"/>
    <col min="15620" max="15620" width="18.85546875" style="390" customWidth="1"/>
    <col min="15621" max="15621" width="16.42578125" style="390" customWidth="1"/>
    <col min="15622" max="15622" width="20.28515625" style="390" customWidth="1"/>
    <col min="15623" max="15623" width="23" style="390" customWidth="1"/>
    <col min="15624" max="15870" width="9.140625" style="390"/>
    <col min="15871" max="15871" width="31.5703125" style="390" customWidth="1"/>
    <col min="15872" max="15872" width="12.5703125" style="390" customWidth="1"/>
    <col min="15873" max="15873" width="15.140625" style="390" customWidth="1"/>
    <col min="15874" max="15874" width="15.85546875" style="390" customWidth="1"/>
    <col min="15875" max="15875" width="19.5703125" style="390" customWidth="1"/>
    <col min="15876" max="15876" width="18.85546875" style="390" customWidth="1"/>
    <col min="15877" max="15877" width="16.42578125" style="390" customWidth="1"/>
    <col min="15878" max="15878" width="20.28515625" style="390" customWidth="1"/>
    <col min="15879" max="15879" width="23" style="390" customWidth="1"/>
    <col min="15880" max="16126" width="9.140625" style="390"/>
    <col min="16127" max="16127" width="31.5703125" style="390" customWidth="1"/>
    <col min="16128" max="16128" width="12.5703125" style="390" customWidth="1"/>
    <col min="16129" max="16129" width="15.140625" style="390" customWidth="1"/>
    <col min="16130" max="16130" width="15.85546875" style="390" customWidth="1"/>
    <col min="16131" max="16131" width="19.5703125" style="390" customWidth="1"/>
    <col min="16132" max="16132" width="18.85546875" style="390" customWidth="1"/>
    <col min="16133" max="16133" width="16.42578125" style="390" customWidth="1"/>
    <col min="16134" max="16134" width="20.28515625" style="390" customWidth="1"/>
    <col min="16135" max="16135" width="23" style="390" customWidth="1"/>
    <col min="16136" max="16384" width="9.140625" style="390"/>
  </cols>
  <sheetData>
    <row r="1" spans="1:8" ht="17.25" hidden="1" thickBot="1" x14ac:dyDescent="0.35">
      <c r="A1" s="389"/>
      <c r="C1" s="2732"/>
      <c r="D1" s="2732"/>
    </row>
    <row r="2" spans="1:8" ht="20.25" x14ac:dyDescent="0.25">
      <c r="A2" s="2733" t="s">
        <v>2501</v>
      </c>
      <c r="B2" s="2734"/>
      <c r="C2" s="2734"/>
      <c r="D2" s="2734"/>
      <c r="E2" s="2734"/>
      <c r="F2" s="2734"/>
      <c r="G2" s="2734"/>
      <c r="H2" s="2735"/>
    </row>
    <row r="3" spans="1:8" ht="16.5" x14ac:dyDescent="0.25">
      <c r="A3" s="2711" t="s">
        <v>1647</v>
      </c>
      <c r="B3" s="2712"/>
      <c r="C3" s="2712"/>
      <c r="D3" s="2712"/>
      <c r="E3" s="2712"/>
      <c r="F3" s="2712"/>
      <c r="G3" s="2712"/>
      <c r="H3" s="2713"/>
    </row>
    <row r="4" spans="1:8" ht="37.5" customHeight="1" x14ac:dyDescent="0.25">
      <c r="A4" s="1332" t="s">
        <v>217</v>
      </c>
      <c r="B4" s="584" t="s">
        <v>8</v>
      </c>
      <c r="C4" s="584" t="s">
        <v>9</v>
      </c>
      <c r="D4" s="584" t="s">
        <v>77</v>
      </c>
      <c r="E4" s="584" t="s">
        <v>11</v>
      </c>
      <c r="F4" s="584" t="s">
        <v>382</v>
      </c>
      <c r="G4" s="1013" t="s">
        <v>2309</v>
      </c>
      <c r="H4" s="568" t="s">
        <v>2479</v>
      </c>
    </row>
    <row r="5" spans="1:8" ht="18.75" x14ac:dyDescent="0.25">
      <c r="A5" s="2736" t="s">
        <v>218</v>
      </c>
      <c r="B5" s="2737"/>
      <c r="C5" s="2737"/>
      <c r="D5" s="2737"/>
      <c r="E5" s="2737"/>
      <c r="F5" s="2737"/>
      <c r="G5" s="2737"/>
      <c r="H5" s="2738"/>
    </row>
    <row r="6" spans="1:8" ht="10.5" hidden="1" customHeight="1" x14ac:dyDescent="0.3">
      <c r="A6" s="594"/>
      <c r="B6" s="595"/>
      <c r="C6" s="595"/>
      <c r="D6" s="595"/>
      <c r="E6" s="595"/>
      <c r="F6" s="595"/>
      <c r="G6" s="605"/>
      <c r="H6" s="596"/>
    </row>
    <row r="7" spans="1:8" ht="18.75" customHeight="1" x14ac:dyDescent="0.3">
      <c r="A7" s="594" t="s">
        <v>219</v>
      </c>
      <c r="B7" s="597">
        <v>4092.8709569540001</v>
      </c>
      <c r="C7" s="597">
        <v>3902.0978927839997</v>
      </c>
      <c r="D7" s="597">
        <v>3991.0001246469997</v>
      </c>
      <c r="E7" s="597">
        <v>4166.3992965099987</v>
      </c>
      <c r="F7" s="597">
        <v>4360.6809617090003</v>
      </c>
      <c r="G7" s="1014">
        <v>4453.7581463899996</v>
      </c>
      <c r="H7" s="1341">
        <v>4415</v>
      </c>
    </row>
    <row r="8" spans="1:8" ht="18.75" hidden="1" x14ac:dyDescent="0.3">
      <c r="A8" s="598"/>
      <c r="B8" s="597"/>
      <c r="C8" s="597"/>
      <c r="D8" s="599"/>
      <c r="E8" s="595"/>
      <c r="F8" s="595"/>
      <c r="G8" s="1015"/>
      <c r="H8" s="1342"/>
    </row>
    <row r="9" spans="1:8" ht="19.5" customHeight="1" x14ac:dyDescent="0.3">
      <c r="A9" s="594" t="s">
        <v>220</v>
      </c>
      <c r="B9" s="597">
        <v>55.624346999999993</v>
      </c>
      <c r="C9" s="597">
        <v>53.429582999999994</v>
      </c>
      <c r="D9" s="597">
        <v>48.091627000000003</v>
      </c>
      <c r="E9" s="597">
        <v>47.459686000000005</v>
      </c>
      <c r="F9" s="597">
        <v>52.295294999999996</v>
      </c>
      <c r="G9" s="1014">
        <v>49.535443999999998</v>
      </c>
      <c r="H9" s="1341">
        <v>70.323846999999986</v>
      </c>
    </row>
    <row r="10" spans="1:8" ht="18.75" hidden="1" x14ac:dyDescent="0.3">
      <c r="A10" s="598"/>
      <c r="B10" s="597"/>
      <c r="C10" s="597"/>
      <c r="D10" s="599"/>
      <c r="E10" s="595"/>
      <c r="F10" s="595"/>
      <c r="G10" s="1015"/>
      <c r="H10" s="1342"/>
    </row>
    <row r="11" spans="1:8" ht="18.75" x14ac:dyDescent="0.3">
      <c r="A11" s="594" t="s">
        <v>221</v>
      </c>
      <c r="B11" s="597">
        <v>242.85230976400001</v>
      </c>
      <c r="C11" s="597">
        <v>194.776381716</v>
      </c>
      <c r="D11" s="597">
        <v>202.28200628100001</v>
      </c>
      <c r="E11" s="597">
        <v>236.04052670900003</v>
      </c>
      <c r="F11" s="597">
        <v>250.41388562199998</v>
      </c>
      <c r="G11" s="1014">
        <v>283.95971589700002</v>
      </c>
      <c r="H11" s="1341">
        <v>265.69535736199998</v>
      </c>
    </row>
    <row r="12" spans="1:8" ht="3" hidden="1" customHeight="1" x14ac:dyDescent="0.3">
      <c r="A12" s="598"/>
      <c r="B12" s="597"/>
      <c r="C12" s="597"/>
      <c r="D12" s="599"/>
      <c r="E12" s="595"/>
      <c r="F12" s="595"/>
      <c r="G12" s="1015"/>
      <c r="H12" s="1342"/>
    </row>
    <row r="13" spans="1:8" ht="18.75" x14ac:dyDescent="0.3">
      <c r="A13" s="594" t="s">
        <v>222</v>
      </c>
      <c r="B13" s="597">
        <v>4707.3781257069995</v>
      </c>
      <c r="C13" s="597">
        <v>4651.3476240949994</v>
      </c>
      <c r="D13" s="597">
        <v>4626.2603967890009</v>
      </c>
      <c r="E13" s="597">
        <v>4848.861706820001</v>
      </c>
      <c r="F13" s="597">
        <v>4950.4852180209991</v>
      </c>
      <c r="G13" s="1014">
        <v>5135.4442066369993</v>
      </c>
      <c r="H13" s="1341">
        <v>5183</v>
      </c>
    </row>
    <row r="14" spans="1:8" ht="18.75" hidden="1" x14ac:dyDescent="0.3">
      <c r="A14" s="598"/>
      <c r="B14" s="597"/>
      <c r="C14" s="597"/>
      <c r="D14" s="599"/>
      <c r="E14" s="595"/>
      <c r="F14" s="595"/>
      <c r="G14" s="1015"/>
      <c r="H14" s="1342"/>
    </row>
    <row r="15" spans="1:8" ht="18.75" x14ac:dyDescent="0.3">
      <c r="A15" s="594" t="s">
        <v>223</v>
      </c>
      <c r="B15" s="1467">
        <v>6652.8776904000006</v>
      </c>
      <c r="C15" s="597">
        <v>5891.3649529999984</v>
      </c>
      <c r="D15" s="597">
        <v>5885.4624769999991</v>
      </c>
      <c r="E15" s="597">
        <v>5074.2211271685755</v>
      </c>
      <c r="F15" s="597">
        <v>4421.0303509550004</v>
      </c>
      <c r="G15" s="1014">
        <v>3428.2563178447999</v>
      </c>
      <c r="H15" s="1341">
        <v>2946.4530965221279</v>
      </c>
    </row>
    <row r="16" spans="1:8" ht="18.75" hidden="1" x14ac:dyDescent="0.3">
      <c r="A16" s="598"/>
      <c r="B16" s="597"/>
      <c r="C16" s="597"/>
      <c r="D16" s="599"/>
      <c r="E16" s="595"/>
      <c r="F16" s="595"/>
      <c r="G16" s="1015"/>
      <c r="H16" s="1342"/>
    </row>
    <row r="17" spans="1:8" ht="20.25" customHeight="1" x14ac:dyDescent="0.3">
      <c r="A17" s="594" t="s">
        <v>224</v>
      </c>
      <c r="B17" s="597">
        <v>415.20071184199998</v>
      </c>
      <c r="C17" s="597">
        <v>410.10292087500005</v>
      </c>
      <c r="D17" s="597">
        <v>366.57900289100002</v>
      </c>
      <c r="E17" s="597">
        <v>324.06100161500001</v>
      </c>
      <c r="F17" s="597">
        <v>294.114002755</v>
      </c>
      <c r="G17" s="1014">
        <v>263.155002809</v>
      </c>
      <c r="H17" s="1341">
        <v>242</v>
      </c>
    </row>
    <row r="18" spans="1:8" ht="18.75" hidden="1" x14ac:dyDescent="0.3">
      <c r="A18" s="600"/>
      <c r="B18" s="592"/>
      <c r="C18" s="592"/>
      <c r="D18" s="592"/>
      <c r="E18" s="592"/>
      <c r="F18" s="592"/>
      <c r="G18" s="117"/>
      <c r="H18" s="1342"/>
    </row>
    <row r="19" spans="1:8" ht="18.75" x14ac:dyDescent="0.3">
      <c r="A19" s="594" t="s">
        <v>225</v>
      </c>
      <c r="B19" s="601">
        <v>0</v>
      </c>
      <c r="C19" s="601">
        <v>0.12515199999999999</v>
      </c>
      <c r="D19" s="601">
        <v>5.2000000000000005E-2</v>
      </c>
      <c r="E19" s="601">
        <v>7.0000000000000001E-3</v>
      </c>
      <c r="F19" s="601">
        <v>0</v>
      </c>
      <c r="G19" s="1016">
        <v>0</v>
      </c>
      <c r="H19" s="1343">
        <v>0</v>
      </c>
    </row>
    <row r="20" spans="1:8" ht="18.75" x14ac:dyDescent="0.25">
      <c r="A20" s="590" t="s">
        <v>226</v>
      </c>
      <c r="B20" s="604">
        <f>+B19+B17+B15+B13+B11+B9+B7</f>
        <v>16166.804141667002</v>
      </c>
      <c r="C20" s="604">
        <f>+C19+C17+C15+C13+C11+C9+C7</f>
        <v>15103.244507469997</v>
      </c>
      <c r="D20" s="604">
        <f>+D19+D17+D15+D13+D11+D9+D7</f>
        <v>15119.727634608002</v>
      </c>
      <c r="E20" s="604">
        <f>+E19+E17+E15+E13+E11+E9+E7</f>
        <v>14697.050344822577</v>
      </c>
      <c r="F20" s="604">
        <f>+F19+F17+F15+F13+F11+F9+F7</f>
        <v>14329.019714061998</v>
      </c>
      <c r="G20" s="1018">
        <v>13615.788081749801</v>
      </c>
      <c r="H20" s="1345">
        <v>13122.236737741128</v>
      </c>
    </row>
    <row r="21" spans="1:8" ht="18.75" x14ac:dyDescent="0.25">
      <c r="A21" s="2739" t="s">
        <v>227</v>
      </c>
      <c r="B21" s="2740"/>
      <c r="C21" s="2740"/>
      <c r="D21" s="2740"/>
      <c r="E21" s="2740"/>
      <c r="F21" s="2740"/>
      <c r="G21" s="2740"/>
      <c r="H21" s="2741"/>
    </row>
    <row r="22" spans="1:8" ht="27" customHeight="1" x14ac:dyDescent="0.3">
      <c r="A22" s="590" t="s">
        <v>228</v>
      </c>
      <c r="B22" s="597">
        <v>557.21998396499998</v>
      </c>
      <c r="C22" s="597">
        <v>743.67625362799993</v>
      </c>
      <c r="D22" s="597">
        <v>626.16919834999999</v>
      </c>
      <c r="E22" s="597">
        <v>549.95874632100004</v>
      </c>
      <c r="F22" s="597">
        <v>1463.1918105459999</v>
      </c>
      <c r="G22" s="1014">
        <v>2436.644065214</v>
      </c>
      <c r="H22" s="1341">
        <v>2724.8396581970005</v>
      </c>
    </row>
    <row r="23" spans="1:8" ht="18.75" x14ac:dyDescent="0.3">
      <c r="A23" s="590" t="s">
        <v>229</v>
      </c>
      <c r="B23" s="597">
        <v>14857.023517534997</v>
      </c>
      <c r="C23" s="597">
        <v>14236.417734660001</v>
      </c>
      <c r="D23" s="597">
        <v>13604.329345364</v>
      </c>
      <c r="E23" s="597">
        <v>13552.292919643001</v>
      </c>
      <c r="F23" s="597">
        <v>13238.534083767001</v>
      </c>
      <c r="G23" s="1014">
        <v>12470.502029134001</v>
      </c>
      <c r="H23" s="1341">
        <v>11918.985259886002</v>
      </c>
    </row>
    <row r="24" spans="1:8" ht="27" customHeight="1" x14ac:dyDescent="0.3">
      <c r="A24" s="590" t="s">
        <v>230</v>
      </c>
      <c r="B24" s="597">
        <v>588.7059999999999</v>
      </c>
      <c r="C24" s="597">
        <v>410.75030516200002</v>
      </c>
      <c r="D24" s="597">
        <v>338.209</v>
      </c>
      <c r="E24" s="597">
        <v>379.37599999999998</v>
      </c>
      <c r="F24" s="597">
        <v>325.66200000000003</v>
      </c>
      <c r="G24" s="1014">
        <v>180.61</v>
      </c>
      <c r="H24" s="1341">
        <v>187.779</v>
      </c>
    </row>
    <row r="25" spans="1:8" ht="18.75" x14ac:dyDescent="0.25">
      <c r="A25" s="590" t="s">
        <v>231</v>
      </c>
      <c r="B25" s="602">
        <f>+B22+B23+B24</f>
        <v>16002.949501499997</v>
      </c>
      <c r="C25" s="602">
        <f>+C22+C23+C24</f>
        <v>15390.844293450002</v>
      </c>
      <c r="D25" s="602">
        <f>+D22+D23+D24</f>
        <v>14568.707543714001</v>
      </c>
      <c r="E25" s="602">
        <f>+E22+E23+E24</f>
        <v>14481.627665964003</v>
      </c>
      <c r="F25" s="602">
        <f>+F22+F23+F24</f>
        <v>15027.387894313</v>
      </c>
      <c r="G25" s="1017">
        <v>15087.756094348</v>
      </c>
      <c r="H25" s="1344">
        <v>14831.603918083001</v>
      </c>
    </row>
    <row r="26" spans="1:8" ht="18.75" hidden="1" x14ac:dyDescent="0.3">
      <c r="A26" s="600"/>
      <c r="B26" s="592"/>
      <c r="C26" s="592"/>
      <c r="D26" s="592"/>
      <c r="E26" s="592"/>
      <c r="F26" s="592"/>
      <c r="G26" s="117"/>
      <c r="H26" s="1342"/>
    </row>
    <row r="27" spans="1:8" ht="22.5" customHeight="1" x14ac:dyDescent="0.25">
      <c r="A27" s="594" t="s">
        <v>232</v>
      </c>
      <c r="B27" s="604">
        <f t="shared" ref="B27:G27" si="0">+B20+B25</f>
        <v>32169.753643167001</v>
      </c>
      <c r="C27" s="604">
        <f t="shared" si="0"/>
        <v>30494.088800919999</v>
      </c>
      <c r="D27" s="604">
        <f t="shared" si="0"/>
        <v>29688.435178322005</v>
      </c>
      <c r="E27" s="604">
        <f t="shared" si="0"/>
        <v>29178.678010786578</v>
      </c>
      <c r="F27" s="604">
        <f t="shared" si="0"/>
        <v>29356.407608374997</v>
      </c>
      <c r="G27" s="1018">
        <f t="shared" si="0"/>
        <v>28703.544176097799</v>
      </c>
      <c r="H27" s="1345">
        <v>27953.840655824126</v>
      </c>
    </row>
    <row r="28" spans="1:8" ht="18.75" hidden="1" x14ac:dyDescent="0.3">
      <c r="A28" s="598"/>
      <c r="B28" s="595"/>
      <c r="C28" s="595"/>
      <c r="D28" s="605"/>
      <c r="E28" s="595"/>
      <c r="F28" s="595"/>
      <c r="G28" s="596"/>
      <c r="H28" s="593"/>
    </row>
    <row r="29" spans="1:8" ht="18.75" hidden="1" x14ac:dyDescent="0.3">
      <c r="A29" s="590" t="s">
        <v>233</v>
      </c>
      <c r="B29" s="584" t="str">
        <f>B4</f>
        <v>2019-20</v>
      </c>
      <c r="C29" s="584" t="s">
        <v>9</v>
      </c>
      <c r="D29" s="606" t="s">
        <v>77</v>
      </c>
      <c r="E29" s="595"/>
      <c r="F29" s="592"/>
      <c r="G29" s="593"/>
      <c r="H29" s="593"/>
    </row>
    <row r="30" spans="1:8" ht="18.75" hidden="1" x14ac:dyDescent="0.3">
      <c r="A30" s="594" t="s">
        <v>234</v>
      </c>
      <c r="B30" s="595"/>
      <c r="C30" s="595"/>
      <c r="D30" s="605"/>
      <c r="E30" s="595"/>
      <c r="F30" s="592"/>
      <c r="G30" s="593"/>
      <c r="H30" s="593"/>
    </row>
    <row r="31" spans="1:8" ht="18.75" hidden="1" x14ac:dyDescent="0.3">
      <c r="A31" s="607" t="e">
        <f>#REF!</f>
        <v>#REF!</v>
      </c>
      <c r="B31" s="597">
        <v>26414.44480979021</v>
      </c>
      <c r="C31" s="597">
        <v>24351.673464</v>
      </c>
      <c r="D31" s="599">
        <v>23521.237843999999</v>
      </c>
      <c r="E31" s="595"/>
      <c r="F31" s="592"/>
      <c r="G31" s="593"/>
      <c r="H31" s="593"/>
    </row>
    <row r="32" spans="1:8" ht="18.75" hidden="1" x14ac:dyDescent="0.3">
      <c r="A32" s="607" t="s">
        <v>235</v>
      </c>
      <c r="B32" s="597">
        <v>25726.004542647206</v>
      </c>
      <c r="C32" s="597">
        <v>23715.439328957</v>
      </c>
      <c r="D32" s="599">
        <v>22774.254613830002</v>
      </c>
      <c r="E32" s="595"/>
      <c r="F32" s="592"/>
      <c r="G32" s="593"/>
      <c r="H32" s="593"/>
    </row>
    <row r="33" spans="1:8" ht="18.75" hidden="1" x14ac:dyDescent="0.3">
      <c r="A33" s="603" t="s">
        <v>236</v>
      </c>
      <c r="B33" s="597"/>
      <c r="C33" s="597"/>
      <c r="D33" s="599"/>
      <c r="E33" s="595"/>
      <c r="F33" s="592"/>
      <c r="G33" s="593"/>
      <c r="H33" s="593"/>
    </row>
    <row r="34" spans="1:8" ht="18.75" hidden="1" x14ac:dyDescent="0.3">
      <c r="A34" s="607" t="e">
        <f>A31</f>
        <v>#REF!</v>
      </c>
      <c r="B34" s="597">
        <v>4769.7759999999998</v>
      </c>
      <c r="C34" s="597">
        <v>4320.7429999999995</v>
      </c>
      <c r="D34" s="599">
        <v>10502.282999999999</v>
      </c>
      <c r="E34" s="595"/>
      <c r="F34" s="592"/>
      <c r="G34" s="593"/>
      <c r="H34" s="593"/>
    </row>
    <row r="35" spans="1:8" ht="18.75" hidden="1" x14ac:dyDescent="0.3">
      <c r="A35" s="608" t="s">
        <v>235</v>
      </c>
      <c r="B35" s="597">
        <v>4530.5139999999992</v>
      </c>
      <c r="C35" s="597">
        <v>4068.3160000000007</v>
      </c>
      <c r="D35" s="599">
        <v>10356.978999999999</v>
      </c>
      <c r="E35" s="595"/>
      <c r="F35" s="592"/>
      <c r="G35" s="593"/>
      <c r="H35" s="593"/>
    </row>
    <row r="36" spans="1:8" ht="18.75" hidden="1" x14ac:dyDescent="0.3">
      <c r="A36" s="603"/>
      <c r="B36" s="597"/>
      <c r="C36" s="597"/>
      <c r="D36" s="599"/>
      <c r="E36" s="595"/>
      <c r="F36" s="592"/>
      <c r="G36" s="593"/>
      <c r="H36" s="593"/>
    </row>
    <row r="37" spans="1:8" ht="18.75" hidden="1" x14ac:dyDescent="0.3">
      <c r="A37" s="590" t="s">
        <v>237</v>
      </c>
      <c r="B37" s="597"/>
      <c r="C37" s="597"/>
      <c r="D37" s="599"/>
      <c r="E37" s="595"/>
      <c r="F37" s="592"/>
      <c r="G37" s="593"/>
      <c r="H37" s="593"/>
    </row>
    <row r="38" spans="1:8" ht="18.75" hidden="1" x14ac:dyDescent="0.3">
      <c r="A38" s="609" t="s">
        <v>238</v>
      </c>
      <c r="B38" s="604">
        <f t="shared" ref="B38:D39" si="1">B31+B34</f>
        <v>31184.220809790211</v>
      </c>
      <c r="C38" s="604">
        <f t="shared" si="1"/>
        <v>28672.416463999998</v>
      </c>
      <c r="D38" s="610">
        <f t="shared" si="1"/>
        <v>34023.520843999999</v>
      </c>
      <c r="E38" s="595"/>
      <c r="F38" s="592"/>
      <c r="G38" s="593"/>
      <c r="H38" s="593"/>
    </row>
    <row r="39" spans="1:8" ht="22.5" hidden="1" x14ac:dyDescent="0.3">
      <c r="A39" s="609" t="s">
        <v>2301</v>
      </c>
      <c r="B39" s="604">
        <f t="shared" si="1"/>
        <v>30256.518542647205</v>
      </c>
      <c r="C39" s="604">
        <f t="shared" si="1"/>
        <v>27783.755328956999</v>
      </c>
      <c r="D39" s="610">
        <f t="shared" si="1"/>
        <v>33131.233613830002</v>
      </c>
      <c r="E39" s="595"/>
      <c r="F39" s="592"/>
      <c r="G39" s="593"/>
      <c r="H39" s="593"/>
    </row>
    <row r="40" spans="1:8" ht="18.75" x14ac:dyDescent="0.3">
      <c r="A40" s="600" t="s">
        <v>239</v>
      </c>
      <c r="B40" s="592"/>
      <c r="C40" s="592"/>
      <c r="D40" s="592"/>
      <c r="E40" s="592"/>
      <c r="F40" s="592"/>
      <c r="G40" s="592"/>
      <c r="H40" s="593"/>
    </row>
    <row r="41" spans="1:8" ht="18.75" customHeight="1" x14ac:dyDescent="0.3">
      <c r="A41" s="600"/>
      <c r="B41" s="611"/>
      <c r="C41" s="612"/>
      <c r="D41" s="612"/>
      <c r="E41" s="612"/>
      <c r="F41" s="592"/>
      <c r="G41" s="592"/>
      <c r="H41" s="593"/>
    </row>
    <row r="42" spans="1:8" ht="18.75" x14ac:dyDescent="0.3">
      <c r="A42" s="600"/>
      <c r="B42" s="592"/>
      <c r="C42" s="592"/>
      <c r="D42" s="592"/>
      <c r="E42" s="592"/>
      <c r="F42" s="592"/>
      <c r="G42" s="592"/>
      <c r="H42" s="593"/>
    </row>
    <row r="43" spans="1:8" ht="18.75" x14ac:dyDescent="0.3">
      <c r="A43" s="600"/>
      <c r="B43" s="592"/>
      <c r="C43" s="592"/>
      <c r="D43" s="592"/>
      <c r="E43" s="592"/>
      <c r="F43" s="592"/>
      <c r="G43" s="592"/>
      <c r="H43" s="593"/>
    </row>
    <row r="44" spans="1:8" ht="36" customHeight="1" x14ac:dyDescent="0.25">
      <c r="A44" s="2729" t="s">
        <v>241</v>
      </c>
      <c r="B44" s="2730"/>
      <c r="C44" s="2730"/>
      <c r="D44" s="2730"/>
      <c r="E44" s="2730"/>
      <c r="F44" s="2730"/>
      <c r="G44" s="2730"/>
      <c r="H44" s="2731"/>
    </row>
    <row r="45" spans="1:8" ht="16.5" x14ac:dyDescent="0.25">
      <c r="A45" s="2711" t="s">
        <v>242</v>
      </c>
      <c r="B45" s="2712"/>
      <c r="C45" s="2712"/>
      <c r="D45" s="2712"/>
      <c r="E45" s="2712"/>
      <c r="F45" s="2712"/>
      <c r="G45" s="2712"/>
      <c r="H45" s="2713"/>
    </row>
    <row r="46" spans="1:8" ht="18.75" x14ac:dyDescent="0.25">
      <c r="A46" s="632" t="s">
        <v>4</v>
      </c>
      <c r="B46" s="591" t="s">
        <v>8</v>
      </c>
      <c r="C46" s="591" t="s">
        <v>9</v>
      </c>
      <c r="D46" s="591" t="s">
        <v>10</v>
      </c>
      <c r="E46" s="591" t="s">
        <v>11</v>
      </c>
      <c r="F46" s="584" t="s">
        <v>382</v>
      </c>
      <c r="G46" s="1013" t="s">
        <v>2309</v>
      </c>
      <c r="H46" s="568" t="s">
        <v>2479</v>
      </c>
    </row>
    <row r="47" spans="1:8" ht="30.75" customHeight="1" x14ac:dyDescent="0.25">
      <c r="A47" s="2714" t="s">
        <v>2336</v>
      </c>
      <c r="B47" s="2715"/>
      <c r="C47" s="2715"/>
      <c r="D47" s="2715"/>
      <c r="E47" s="2715"/>
      <c r="F47" s="2715"/>
      <c r="G47" s="2715"/>
      <c r="H47" s="2716"/>
    </row>
    <row r="48" spans="1:8" ht="20.25" customHeight="1" x14ac:dyDescent="0.25">
      <c r="A48" s="615" t="s">
        <v>2337</v>
      </c>
      <c r="B48" s="865">
        <v>19.243576322652999</v>
      </c>
      <c r="C48" s="851">
        <v>19.081097825209998</v>
      </c>
      <c r="D48" s="851">
        <v>18.509758899322005</v>
      </c>
      <c r="E48" s="851">
        <v>18.449315885617999</v>
      </c>
      <c r="F48" s="851">
        <v>18.14003822442</v>
      </c>
      <c r="G48" s="1020">
        <v>17.425057859580999</v>
      </c>
      <c r="H48" s="1103">
        <v>16.819407392814998</v>
      </c>
    </row>
    <row r="49" spans="1:8" ht="19.5" customHeight="1" x14ac:dyDescent="0.25">
      <c r="A49" s="615" t="s">
        <v>2338</v>
      </c>
      <c r="B49" s="865">
        <v>3.1066128999999996</v>
      </c>
      <c r="C49" s="851">
        <v>2.9373658704000003</v>
      </c>
      <c r="D49" s="851">
        <v>2.9868399380000001</v>
      </c>
      <c r="E49" s="851">
        <v>3.1553969421685761</v>
      </c>
      <c r="F49" s="851">
        <v>3.3434570939549997</v>
      </c>
      <c r="G49" s="1020">
        <v>3.4439596888447999</v>
      </c>
      <c r="H49" s="1103">
        <v>3.42300791752213</v>
      </c>
    </row>
    <row r="50" spans="1:8" ht="21.75" customHeight="1" x14ac:dyDescent="0.25">
      <c r="A50" s="618" t="s">
        <v>2339</v>
      </c>
      <c r="B50" s="866">
        <f t="shared" ref="B50:G50" si="2">SUM(B48:B49)</f>
        <v>22.350189222652997</v>
      </c>
      <c r="C50" s="852">
        <f t="shared" si="2"/>
        <v>22.018463695609999</v>
      </c>
      <c r="D50" s="852">
        <f t="shared" si="2"/>
        <v>21.496598837322004</v>
      </c>
      <c r="E50" s="852">
        <f t="shared" si="2"/>
        <v>21.604712827786575</v>
      </c>
      <c r="F50" s="852">
        <f t="shared" si="2"/>
        <v>21.483495318374999</v>
      </c>
      <c r="G50" s="1021">
        <f t="shared" si="2"/>
        <v>20.869017548425798</v>
      </c>
      <c r="H50" s="1104">
        <v>20.2</v>
      </c>
    </row>
    <row r="51" spans="1:8" ht="18.75" hidden="1" x14ac:dyDescent="0.25">
      <c r="A51" s="618" t="s">
        <v>245</v>
      </c>
      <c r="B51" s="619">
        <f t="shared" ref="B51:G51" si="3">+B50*0.733</f>
        <v>16.382688700204646</v>
      </c>
      <c r="C51" s="614">
        <f t="shared" si="3"/>
        <v>16.139533888882127</v>
      </c>
      <c r="D51" s="614">
        <f t="shared" si="3"/>
        <v>15.757006947757029</v>
      </c>
      <c r="E51" s="614">
        <f t="shared" si="3"/>
        <v>15.836254502767559</v>
      </c>
      <c r="F51" s="614">
        <f t="shared" si="3"/>
        <v>15.747402068368874</v>
      </c>
      <c r="G51" s="1022">
        <f t="shared" si="3"/>
        <v>15.29698986299611</v>
      </c>
      <c r="H51" s="1346"/>
    </row>
    <row r="52" spans="1:8" ht="18.75" hidden="1" x14ac:dyDescent="0.3">
      <c r="A52" s="613" t="s">
        <v>246</v>
      </c>
      <c r="B52" s="620"/>
      <c r="C52" s="614"/>
      <c r="D52" s="614"/>
      <c r="E52" s="614"/>
      <c r="F52" s="592"/>
      <c r="G52" s="988"/>
      <c r="H52" s="1347"/>
    </row>
    <row r="53" spans="1:8" ht="18.75" hidden="1" x14ac:dyDescent="0.3">
      <c r="A53" s="615" t="s">
        <v>247</v>
      </c>
      <c r="B53" s="616">
        <v>0.52740400000000009</v>
      </c>
      <c r="C53" s="617">
        <v>0.33782800000000002</v>
      </c>
      <c r="D53" s="2717"/>
      <c r="E53" s="2717"/>
      <c r="F53" s="592"/>
      <c r="G53" s="988"/>
      <c r="H53" s="1347"/>
    </row>
    <row r="54" spans="1:8" ht="18.75" hidden="1" x14ac:dyDescent="0.3">
      <c r="A54" s="615" t="s">
        <v>248</v>
      </c>
      <c r="B54" s="621">
        <v>1.1202288000000001E-2</v>
      </c>
      <c r="C54" s="617">
        <v>4.1223999999999997E-2</v>
      </c>
      <c r="D54" s="2718"/>
      <c r="E54" s="2718"/>
      <c r="F54" s="592"/>
      <c r="G54" s="988"/>
      <c r="H54" s="1347"/>
    </row>
    <row r="55" spans="1:8" ht="18.75" hidden="1" x14ac:dyDescent="0.3">
      <c r="A55" s="615" t="s">
        <v>249</v>
      </c>
      <c r="B55" s="616">
        <v>0.59944799999999998</v>
      </c>
      <c r="C55" s="617">
        <v>0.535439</v>
      </c>
      <c r="D55" s="2718"/>
      <c r="E55" s="2718"/>
      <c r="F55" s="592"/>
      <c r="G55" s="988"/>
      <c r="H55" s="1347"/>
    </row>
    <row r="56" spans="1:8" ht="18.75" hidden="1" x14ac:dyDescent="0.3">
      <c r="A56" s="615" t="s">
        <v>250</v>
      </c>
      <c r="B56" s="621">
        <v>3.4107933999999999E-2</v>
      </c>
      <c r="C56" s="617">
        <v>3.2250000000000001E-2</v>
      </c>
      <c r="D56" s="2718"/>
      <c r="E56" s="2718"/>
      <c r="F56" s="592"/>
      <c r="G56" s="988"/>
      <c r="H56" s="1347"/>
    </row>
    <row r="57" spans="1:8" ht="18.75" hidden="1" x14ac:dyDescent="0.3">
      <c r="A57" s="615" t="s">
        <v>251</v>
      </c>
      <c r="B57" s="616">
        <v>0.13328600558000001</v>
      </c>
      <c r="C57" s="617">
        <v>0.132383</v>
      </c>
      <c r="D57" s="2718"/>
      <c r="E57" s="2718"/>
      <c r="F57" s="592"/>
      <c r="G57" s="988"/>
      <c r="H57" s="1347"/>
    </row>
    <row r="58" spans="1:8" ht="18.75" hidden="1" x14ac:dyDescent="0.3">
      <c r="A58" s="615" t="s">
        <v>252</v>
      </c>
      <c r="B58" s="616">
        <v>0.73560800000000004</v>
      </c>
      <c r="C58" s="617">
        <v>0.58870599999999995</v>
      </c>
      <c r="D58" s="2718"/>
      <c r="E58" s="2718"/>
      <c r="F58" s="592"/>
      <c r="G58" s="988"/>
      <c r="H58" s="1347"/>
    </row>
    <row r="59" spans="1:8" ht="18.75" hidden="1" x14ac:dyDescent="0.3">
      <c r="A59" s="615" t="s">
        <v>253</v>
      </c>
      <c r="B59" s="621">
        <v>2.9774309999999995E-2</v>
      </c>
      <c r="C59" s="617">
        <v>0</v>
      </c>
      <c r="D59" s="2718"/>
      <c r="E59" s="2718"/>
      <c r="F59" s="592"/>
      <c r="G59" s="988"/>
      <c r="H59" s="1347"/>
    </row>
    <row r="60" spans="1:8" ht="18.75" hidden="1" x14ac:dyDescent="0.3">
      <c r="A60" s="615" t="s">
        <v>254</v>
      </c>
      <c r="B60" s="621">
        <v>9.2063839000000022E-2</v>
      </c>
      <c r="C60" s="617">
        <v>8.7332000000000007E-2</v>
      </c>
      <c r="D60" s="2718"/>
      <c r="E60" s="2718"/>
      <c r="F60" s="592"/>
      <c r="G60" s="988"/>
      <c r="H60" s="1347"/>
    </row>
    <row r="61" spans="1:8" ht="18.75" hidden="1" x14ac:dyDescent="0.3">
      <c r="A61" s="615" t="s">
        <v>255</v>
      </c>
      <c r="B61" s="622" t="s">
        <v>18</v>
      </c>
      <c r="C61" s="623">
        <v>1.5700000000000002E-4</v>
      </c>
      <c r="D61" s="2719"/>
      <c r="E61" s="2719"/>
      <c r="F61" s="592"/>
      <c r="G61" s="988"/>
      <c r="H61" s="1347"/>
    </row>
    <row r="62" spans="1:8" ht="20.25" customHeight="1" x14ac:dyDescent="0.25">
      <c r="A62" s="613" t="s">
        <v>2340</v>
      </c>
      <c r="B62" s="866">
        <v>8.173625048089999</v>
      </c>
      <c r="C62" s="852">
        <v>7.102885748688001</v>
      </c>
      <c r="D62" s="852">
        <v>6.9510569999999987</v>
      </c>
      <c r="E62" s="852">
        <v>6.2226459999999992</v>
      </c>
      <c r="F62" s="852">
        <v>5.6848709999999993</v>
      </c>
      <c r="G62" s="1021">
        <v>5.6209790000000011</v>
      </c>
      <c r="H62" s="1104">
        <v>5.7372480000000001</v>
      </c>
    </row>
    <row r="63" spans="1:8" ht="21" customHeight="1" x14ac:dyDescent="0.25">
      <c r="A63" s="613" t="s">
        <v>256</v>
      </c>
      <c r="B63" s="866">
        <f t="shared" ref="B63:G63" si="4">B50+B62</f>
        <v>30.523814270742996</v>
      </c>
      <c r="C63" s="852">
        <f t="shared" si="4"/>
        <v>29.121349444297998</v>
      </c>
      <c r="D63" s="852">
        <f t="shared" si="4"/>
        <v>28.447655837322003</v>
      </c>
      <c r="E63" s="852">
        <f t="shared" si="4"/>
        <v>27.827358827786576</v>
      </c>
      <c r="F63" s="852">
        <f t="shared" si="4"/>
        <v>27.168366318375</v>
      </c>
      <c r="G63" s="1021">
        <f t="shared" si="4"/>
        <v>26.4899965484258</v>
      </c>
      <c r="H63" s="1104">
        <v>25.9</v>
      </c>
    </row>
    <row r="64" spans="1:8" ht="18.75" x14ac:dyDescent="0.25">
      <c r="A64" s="615" t="s">
        <v>257</v>
      </c>
      <c r="B64" s="865">
        <v>1.6459393724239999</v>
      </c>
      <c r="C64" s="851">
        <v>1.3727393566220001</v>
      </c>
      <c r="D64" s="851">
        <v>1.2407793409999999</v>
      </c>
      <c r="E64" s="851">
        <v>1.351319183</v>
      </c>
      <c r="F64" s="851">
        <v>2.1880412900000001</v>
      </c>
      <c r="G64" s="1020">
        <v>2.2135476276720003</v>
      </c>
      <c r="H64" s="1103">
        <v>1.974177345487</v>
      </c>
    </row>
    <row r="65" spans="1:8" ht="21.75" customHeight="1" x14ac:dyDescent="0.25">
      <c r="A65" s="624" t="s">
        <v>258</v>
      </c>
      <c r="B65" s="619">
        <f t="shared" ref="B65:G65" si="5">SUM(B63:B64)</f>
        <v>32.169753643166999</v>
      </c>
      <c r="C65" s="614">
        <f t="shared" si="5"/>
        <v>30.494088800919997</v>
      </c>
      <c r="D65" s="614">
        <f t="shared" si="5"/>
        <v>29.688435178322003</v>
      </c>
      <c r="E65" s="614">
        <f t="shared" si="5"/>
        <v>29.178678010786577</v>
      </c>
      <c r="F65" s="614">
        <f t="shared" si="5"/>
        <v>29.356407608375001</v>
      </c>
      <c r="G65" s="1021">
        <f t="shared" si="5"/>
        <v>28.7035441760978</v>
      </c>
      <c r="H65" s="1104">
        <v>27.9</v>
      </c>
    </row>
    <row r="66" spans="1:8" ht="37.5" x14ac:dyDescent="0.25">
      <c r="A66" s="1337" t="s">
        <v>259</v>
      </c>
      <c r="B66" s="1338">
        <f t="shared" ref="B66:G66" si="6">+B65*0.733</f>
        <v>23.580429420441408</v>
      </c>
      <c r="C66" s="1339">
        <f t="shared" si="6"/>
        <v>22.352167091074357</v>
      </c>
      <c r="D66" s="1339">
        <f t="shared" si="6"/>
        <v>21.761622985710027</v>
      </c>
      <c r="E66" s="1339">
        <f t="shared" si="6"/>
        <v>21.387970981906559</v>
      </c>
      <c r="F66" s="1339">
        <f t="shared" si="6"/>
        <v>21.518246776938874</v>
      </c>
      <c r="G66" s="1340">
        <f t="shared" si="6"/>
        <v>21.039697881079686</v>
      </c>
      <c r="H66" s="1348">
        <v>20.450699999999998</v>
      </c>
    </row>
    <row r="67" spans="1:8" ht="18.75" customHeight="1" x14ac:dyDescent="0.25">
      <c r="A67" s="2720" t="s">
        <v>2392</v>
      </c>
      <c r="B67" s="2721"/>
      <c r="C67" s="2721"/>
      <c r="D67" s="2721"/>
      <c r="E67" s="2721"/>
      <c r="F67" s="2721"/>
      <c r="G67" s="2721"/>
      <c r="H67" s="2722"/>
    </row>
    <row r="68" spans="1:8" ht="47.25" customHeight="1" x14ac:dyDescent="0.25">
      <c r="A68" s="2723"/>
      <c r="B68" s="2724"/>
      <c r="C68" s="2724"/>
      <c r="D68" s="2724"/>
      <c r="E68" s="2724"/>
      <c r="F68" s="2724"/>
      <c r="G68" s="2724"/>
      <c r="H68" s="2725"/>
    </row>
    <row r="69" spans="1:8" ht="17.25" customHeight="1" x14ac:dyDescent="0.25">
      <c r="A69" s="1330"/>
      <c r="B69" s="1336"/>
      <c r="C69" s="1336"/>
      <c r="D69" s="1336"/>
      <c r="E69" s="1336"/>
      <c r="F69" s="1336"/>
      <c r="G69" s="1336"/>
      <c r="H69" s="1349"/>
    </row>
    <row r="70" spans="1:8" ht="30.75" customHeight="1" x14ac:dyDescent="0.25">
      <c r="A70" s="2726" t="s">
        <v>260</v>
      </c>
      <c r="B70" s="2727"/>
      <c r="C70" s="2727"/>
      <c r="D70" s="2727"/>
      <c r="E70" s="2727"/>
      <c r="F70" s="2727"/>
      <c r="G70" s="2727"/>
      <c r="H70" s="2728"/>
    </row>
    <row r="71" spans="1:8" ht="27" customHeight="1" x14ac:dyDescent="0.25">
      <c r="A71" s="2705" t="s">
        <v>242</v>
      </c>
      <c r="B71" s="2706"/>
      <c r="C71" s="2706"/>
      <c r="D71" s="2706"/>
      <c r="E71" s="2706"/>
      <c r="F71" s="2706"/>
      <c r="G71" s="2706"/>
      <c r="H71" s="2707"/>
    </row>
    <row r="72" spans="1:8" ht="45" customHeight="1" x14ac:dyDescent="0.25">
      <c r="A72" s="1525" t="s">
        <v>4</v>
      </c>
      <c r="B72" s="919" t="s">
        <v>8</v>
      </c>
      <c r="C72" s="919" t="s">
        <v>9</v>
      </c>
      <c r="D72" s="919" t="s">
        <v>10</v>
      </c>
      <c r="E72" s="919" t="s">
        <v>11</v>
      </c>
      <c r="F72" s="1156" t="s">
        <v>382</v>
      </c>
      <c r="G72" s="1526" t="s">
        <v>2309</v>
      </c>
      <c r="H72" s="568" t="s">
        <v>2479</v>
      </c>
    </row>
    <row r="73" spans="1:8" ht="41.25" customHeight="1" x14ac:dyDescent="0.25">
      <c r="A73" s="1527" t="s">
        <v>261</v>
      </c>
      <c r="B73" s="1269">
        <v>29.27582306376253</v>
      </c>
      <c r="C73" s="1269">
        <v>28.012361968889994</v>
      </c>
      <c r="D73" s="1269">
        <v>27.016965736068006</v>
      </c>
      <c r="E73" s="1269">
        <v>26.453784971439998</v>
      </c>
      <c r="F73" s="1269">
        <v>26.858871578738668</v>
      </c>
      <c r="G73" s="1528">
        <v>26.504067232075002</v>
      </c>
      <c r="H73" s="1350">
        <v>25.701594738079901</v>
      </c>
    </row>
    <row r="74" spans="1:8" ht="56.25" x14ac:dyDescent="0.25">
      <c r="A74" s="1527" t="s">
        <v>264</v>
      </c>
      <c r="B74" s="1269">
        <f t="shared" ref="B74:H74" si="7">SUM(B75:B76)</f>
        <v>32.073904472023777</v>
      </c>
      <c r="C74" s="1269">
        <f t="shared" si="7"/>
        <v>30.347709143974363</v>
      </c>
      <c r="D74" s="1269">
        <f t="shared" si="7"/>
        <v>29.258219732751449</v>
      </c>
      <c r="E74" s="1269">
        <f t="shared" si="7"/>
        <v>28.173839985353517</v>
      </c>
      <c r="F74" s="1269">
        <f t="shared" si="7"/>
        <v>28.541377587963179</v>
      </c>
      <c r="G74" s="1528">
        <f t="shared" si="7"/>
        <v>28.046696076525965</v>
      </c>
      <c r="H74" s="1269">
        <f t="shared" si="7"/>
        <v>27.362871438628559</v>
      </c>
    </row>
    <row r="75" spans="1:8" ht="37.5" x14ac:dyDescent="0.25">
      <c r="A75" s="1529" t="s">
        <v>262</v>
      </c>
      <c r="B75" s="1524">
        <f>B73*0.933</f>
        <v>27.314342918490443</v>
      </c>
      <c r="C75" s="1524">
        <f>C73*0.933</f>
        <v>26.135533716974365</v>
      </c>
      <c r="D75" s="1524">
        <f>D73*0.933</f>
        <v>25.20682903175145</v>
      </c>
      <c r="E75" s="1524">
        <f>E73*0.933</f>
        <v>24.681381378353517</v>
      </c>
      <c r="F75" s="1524">
        <f>F73*0.933</f>
        <v>25.05932718296318</v>
      </c>
      <c r="G75" s="1530">
        <v>24.728294727525963</v>
      </c>
      <c r="H75" s="1531">
        <v>23.979587890628558</v>
      </c>
    </row>
    <row r="76" spans="1:8" ht="18.75" x14ac:dyDescent="0.25">
      <c r="A76" s="1529" t="s">
        <v>263</v>
      </c>
      <c r="B76" s="1524">
        <v>4.7595615535333335</v>
      </c>
      <c r="C76" s="1524">
        <v>4.212175427</v>
      </c>
      <c r="D76" s="1524">
        <v>4.0513907009999999</v>
      </c>
      <c r="E76" s="1524">
        <v>3.4924586070000001</v>
      </c>
      <c r="F76" s="1524">
        <v>3.4820504049999998</v>
      </c>
      <c r="G76" s="1530">
        <v>3.3184013490000006</v>
      </c>
      <c r="H76" s="1531">
        <v>3.3832835480000019</v>
      </c>
    </row>
    <row r="77" spans="1:8" ht="37.5" x14ac:dyDescent="0.25">
      <c r="A77" s="1527" t="s">
        <v>265</v>
      </c>
      <c r="B77" s="1269">
        <v>214.12662644980693</v>
      </c>
      <c r="C77" s="1269">
        <v>194.29532182621546</v>
      </c>
      <c r="D77" s="1269">
        <v>201.69665773166869</v>
      </c>
      <c r="E77" s="1269">
        <v>223.00825949358247</v>
      </c>
      <c r="F77" s="1269">
        <v>234.3</v>
      </c>
      <c r="G77" s="1528">
        <v>239.5</v>
      </c>
      <c r="H77" s="1350">
        <v>241.60977693895987</v>
      </c>
    </row>
    <row r="78" spans="1:8" ht="37.5" x14ac:dyDescent="0.25">
      <c r="A78" s="1335" t="s">
        <v>2500</v>
      </c>
      <c r="B78" s="614">
        <v>14.978942602237359</v>
      </c>
      <c r="C78" s="614">
        <v>15.619372025394629</v>
      </c>
      <c r="D78" s="614">
        <v>14.5060508497249</v>
      </c>
      <c r="E78" s="614">
        <v>12.633541039839502</v>
      </c>
      <c r="F78" s="614">
        <v>12.181552534341945</v>
      </c>
      <c r="G78" s="1021">
        <v>11.7241547273262</v>
      </c>
      <c r="H78" s="2255">
        <f>H74/H77</f>
        <v>0.11325233517160813</v>
      </c>
    </row>
    <row r="79" spans="1:8" ht="111.75" customHeight="1" x14ac:dyDescent="0.25">
      <c r="A79" s="2708" t="s">
        <v>2391</v>
      </c>
      <c r="B79" s="2709"/>
      <c r="C79" s="2709"/>
      <c r="D79" s="2709"/>
      <c r="E79" s="2709"/>
      <c r="F79" s="2709"/>
      <c r="G79" s="2709"/>
      <c r="H79" s="2710"/>
    </row>
    <row r="80" spans="1:8" ht="16.5" thickBot="1" x14ac:dyDescent="0.3">
      <c r="A80" s="400"/>
      <c r="B80" s="403"/>
      <c r="C80" s="403"/>
      <c r="D80" s="403"/>
      <c r="E80" s="403"/>
      <c r="F80" s="403"/>
      <c r="G80" s="403"/>
      <c r="H80" s="404"/>
    </row>
  </sheetData>
  <mergeCells count="14">
    <mergeCell ref="A44:H44"/>
    <mergeCell ref="C1:D1"/>
    <mergeCell ref="A2:H2"/>
    <mergeCell ref="A3:H3"/>
    <mergeCell ref="A5:H5"/>
    <mergeCell ref="A21:H21"/>
    <mergeCell ref="A71:H71"/>
    <mergeCell ref="A79:H79"/>
    <mergeCell ref="A45:H45"/>
    <mergeCell ref="A47:H47"/>
    <mergeCell ref="D53:D61"/>
    <mergeCell ref="E53:E61"/>
    <mergeCell ref="A67:H68"/>
    <mergeCell ref="A70:H70"/>
  </mergeCells>
  <pageMargins left="0.70866141732283472" right="0.70866141732283472" top="0.74803149606299213" bottom="0.74803149606299213" header="0.31496062992125984" footer="0.31496062992125984"/>
  <pageSetup paperSize="9" scale="54" orientation="portrait" horizontalDpi="300" verticalDpi="300"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C66EA5-2112-44CD-80B1-1BB1648C403A}">
  <sheetPr>
    <tabColor theme="0"/>
    <pageSetUpPr fitToPage="1"/>
  </sheetPr>
  <dimension ref="A1:T80"/>
  <sheetViews>
    <sheetView view="pageLayout" topLeftCell="I24" zoomScale="80" zoomScaleNormal="100" zoomScaleSheetLayoutView="80" zoomScalePageLayoutView="80" workbookViewId="0">
      <selection activeCell="B81" sqref="B81"/>
    </sheetView>
  </sheetViews>
  <sheetFormatPr defaultColWidth="8.85546875" defaultRowHeight="16.5" x14ac:dyDescent="0.3"/>
  <cols>
    <col min="1" max="1" width="2.5703125" style="4" customWidth="1"/>
    <col min="2" max="2" width="26" style="4" customWidth="1"/>
    <col min="3" max="3" width="12.7109375" style="4" customWidth="1"/>
    <col min="4" max="4" width="12.85546875" style="4" customWidth="1"/>
    <col min="5" max="5" width="12.42578125" style="4" customWidth="1"/>
    <col min="6" max="6" width="16.7109375" style="4" customWidth="1"/>
    <col min="7" max="7" width="8.85546875" style="4" customWidth="1"/>
    <col min="8" max="8" width="9.42578125" style="4" customWidth="1"/>
    <col min="9" max="9" width="17.5703125" style="4" customWidth="1"/>
    <col min="10" max="10" width="9.85546875" style="4" customWidth="1"/>
    <col min="11" max="11" width="8.85546875" style="4" customWidth="1"/>
    <col min="12" max="12" width="6.7109375" style="4" customWidth="1"/>
    <col min="13" max="13" width="17.5703125" style="4" customWidth="1"/>
    <col min="14" max="14" width="9.85546875" style="4" customWidth="1"/>
    <col min="15" max="15" width="8.85546875" style="4" customWidth="1"/>
    <col min="16" max="16" width="6.7109375" style="4" customWidth="1"/>
    <col min="17" max="17" width="13.28515625" style="4" customWidth="1"/>
    <col min="18" max="18" width="10.42578125" style="4" customWidth="1"/>
    <col min="19" max="16384" width="8.85546875" style="4"/>
  </cols>
  <sheetData>
    <row r="1" spans="1:20" ht="17.25" x14ac:dyDescent="0.3">
      <c r="B1" s="2754" t="s">
        <v>2533</v>
      </c>
      <c r="C1" s="2754"/>
      <c r="D1" s="2754"/>
      <c r="E1" s="2754"/>
      <c r="F1" s="2754"/>
      <c r="G1" s="2754"/>
      <c r="H1" s="2754"/>
      <c r="I1" s="2754"/>
      <c r="J1" s="2755"/>
      <c r="K1" s="2755"/>
      <c r="L1" s="2755"/>
      <c r="M1" s="2755"/>
      <c r="N1" s="2755"/>
      <c r="O1" s="2755"/>
      <c r="P1" s="2755"/>
    </row>
    <row r="2" spans="1:20" ht="61.5" customHeight="1" x14ac:dyDescent="0.3">
      <c r="A2" s="1551"/>
      <c r="B2" s="2756" t="s">
        <v>266</v>
      </c>
      <c r="C2" s="2756" t="s">
        <v>2521</v>
      </c>
      <c r="D2" s="2756" t="s">
        <v>2522</v>
      </c>
      <c r="E2" s="2756" t="s">
        <v>2523</v>
      </c>
      <c r="F2" s="2756"/>
      <c r="G2" s="2756"/>
      <c r="H2" s="2756"/>
      <c r="I2" s="2756" t="s">
        <v>2524</v>
      </c>
      <c r="J2" s="2756"/>
      <c r="K2" s="2756"/>
      <c r="L2" s="2756"/>
      <c r="M2" s="2756" t="s">
        <v>267</v>
      </c>
      <c r="N2" s="2756"/>
      <c r="O2" s="2756"/>
      <c r="P2" s="2756"/>
    </row>
    <row r="3" spans="1:20" s="1" customFormat="1" ht="45" x14ac:dyDescent="0.3">
      <c r="A3" s="1357"/>
      <c r="B3" s="2756"/>
      <c r="C3" s="2756"/>
      <c r="D3" s="2756"/>
      <c r="E3" s="1202" t="s">
        <v>268</v>
      </c>
      <c r="F3" s="1202" t="s">
        <v>269</v>
      </c>
      <c r="G3" s="1202" t="s">
        <v>270</v>
      </c>
      <c r="H3" s="1202" t="s">
        <v>237</v>
      </c>
      <c r="I3" s="1202" t="s">
        <v>268</v>
      </c>
      <c r="J3" s="1202" t="s">
        <v>269</v>
      </c>
      <c r="K3" s="1202" t="s">
        <v>270</v>
      </c>
      <c r="L3" s="1202" t="s">
        <v>237</v>
      </c>
      <c r="M3" s="1202" t="s">
        <v>268</v>
      </c>
      <c r="N3" s="1202" t="s">
        <v>269</v>
      </c>
      <c r="O3" s="1202" t="s">
        <v>270</v>
      </c>
      <c r="P3" s="1202" t="s">
        <v>237</v>
      </c>
    </row>
    <row r="4" spans="1:20" x14ac:dyDescent="0.3">
      <c r="A4" s="86"/>
      <c r="B4" s="1203" t="s">
        <v>271</v>
      </c>
      <c r="C4" s="1206">
        <v>1999</v>
      </c>
      <c r="D4" s="1207">
        <v>48</v>
      </c>
      <c r="E4" s="1786">
        <v>7</v>
      </c>
      <c r="F4" s="1206">
        <v>16</v>
      </c>
      <c r="G4" s="1206">
        <v>1</v>
      </c>
      <c r="H4" s="1207">
        <v>24</v>
      </c>
      <c r="I4" s="1208">
        <v>5</v>
      </c>
      <c r="J4" s="1208">
        <v>15</v>
      </c>
      <c r="K4" s="1206">
        <v>1</v>
      </c>
      <c r="L4" s="1209">
        <f t="shared" ref="L4:L12" si="0">+I4+J4+K4</f>
        <v>21</v>
      </c>
      <c r="M4" s="1210">
        <v>2</v>
      </c>
      <c r="N4" s="1208">
        <v>1</v>
      </c>
      <c r="O4" s="1208">
        <v>0</v>
      </c>
      <c r="P4" s="1209">
        <f t="shared" ref="P4:P11" si="1">M4+N4+O4</f>
        <v>3</v>
      </c>
      <c r="Q4" s="50"/>
    </row>
    <row r="5" spans="1:20" x14ac:dyDescent="0.3">
      <c r="A5" s="86"/>
      <c r="B5" s="1203" t="s">
        <v>272</v>
      </c>
      <c r="C5" s="1206">
        <v>2000</v>
      </c>
      <c r="D5" s="1207">
        <v>25</v>
      </c>
      <c r="E5" s="1786">
        <v>8</v>
      </c>
      <c r="F5" s="1206">
        <v>8</v>
      </c>
      <c r="G5" s="1206">
        <v>7</v>
      </c>
      <c r="H5" s="1207">
        <v>23</v>
      </c>
      <c r="I5" s="1208">
        <v>8</v>
      </c>
      <c r="J5" s="1208">
        <v>8</v>
      </c>
      <c r="K5" s="1206">
        <v>6</v>
      </c>
      <c r="L5" s="1209">
        <f t="shared" si="0"/>
        <v>22</v>
      </c>
      <c r="M5" s="1210">
        <v>0</v>
      </c>
      <c r="N5" s="1208">
        <v>0</v>
      </c>
      <c r="O5" s="1208">
        <v>1</v>
      </c>
      <c r="P5" s="1209">
        <f t="shared" si="1"/>
        <v>1</v>
      </c>
      <c r="Q5" s="50"/>
    </row>
    <row r="6" spans="1:20" x14ac:dyDescent="0.3">
      <c r="A6" s="86"/>
      <c r="B6" s="1203" t="s">
        <v>273</v>
      </c>
      <c r="C6" s="1206">
        <v>2002</v>
      </c>
      <c r="D6" s="1207">
        <v>27</v>
      </c>
      <c r="E6" s="1786">
        <v>9</v>
      </c>
      <c r="F6" s="1206">
        <v>6</v>
      </c>
      <c r="G6" s="1206">
        <v>8</v>
      </c>
      <c r="H6" s="1207">
        <v>23</v>
      </c>
      <c r="I6" s="1208">
        <v>9</v>
      </c>
      <c r="J6" s="1208">
        <v>5</v>
      </c>
      <c r="K6" s="1206">
        <v>5</v>
      </c>
      <c r="L6" s="1209">
        <f t="shared" si="0"/>
        <v>19</v>
      </c>
      <c r="M6" s="1210">
        <v>0</v>
      </c>
      <c r="N6" s="1208">
        <v>1</v>
      </c>
      <c r="O6" s="1208">
        <v>3</v>
      </c>
      <c r="P6" s="1209">
        <f t="shared" si="1"/>
        <v>4</v>
      </c>
      <c r="Q6" s="50"/>
    </row>
    <row r="7" spans="1:20" x14ac:dyDescent="0.3">
      <c r="A7" s="86"/>
      <c r="B7" s="1203" t="s">
        <v>274</v>
      </c>
      <c r="C7" s="1206">
        <v>2003</v>
      </c>
      <c r="D7" s="1207">
        <v>24</v>
      </c>
      <c r="E7" s="1206">
        <v>10</v>
      </c>
      <c r="F7" s="1206">
        <v>0</v>
      </c>
      <c r="G7" s="1206">
        <v>10</v>
      </c>
      <c r="H7" s="1207">
        <v>20</v>
      </c>
      <c r="I7" s="1208">
        <v>10</v>
      </c>
      <c r="J7" s="1208">
        <v>0</v>
      </c>
      <c r="K7" s="1206">
        <v>7</v>
      </c>
      <c r="L7" s="1209">
        <f t="shared" si="0"/>
        <v>17</v>
      </c>
      <c r="M7" s="1210">
        <v>0</v>
      </c>
      <c r="N7" s="1208">
        <v>0</v>
      </c>
      <c r="O7" s="1208">
        <v>3</v>
      </c>
      <c r="P7" s="1209">
        <f t="shared" si="1"/>
        <v>3</v>
      </c>
      <c r="Q7" s="50"/>
    </row>
    <row r="8" spans="1:20" x14ac:dyDescent="0.3">
      <c r="A8" s="86"/>
      <c r="B8" s="1203" t="s">
        <v>275</v>
      </c>
      <c r="C8" s="1206">
        <v>2005</v>
      </c>
      <c r="D8" s="1207">
        <v>20</v>
      </c>
      <c r="E8" s="1786">
        <v>6</v>
      </c>
      <c r="F8" s="1206">
        <v>2</v>
      </c>
      <c r="G8" s="1206">
        <v>12</v>
      </c>
      <c r="H8" s="1207">
        <v>20</v>
      </c>
      <c r="I8" s="1208">
        <v>6</v>
      </c>
      <c r="J8" s="1208">
        <v>1</v>
      </c>
      <c r="K8" s="1206">
        <v>9</v>
      </c>
      <c r="L8" s="1209">
        <f t="shared" si="0"/>
        <v>16</v>
      </c>
      <c r="M8" s="1210">
        <v>0</v>
      </c>
      <c r="N8" s="1208">
        <v>1</v>
      </c>
      <c r="O8" s="1208">
        <v>3</v>
      </c>
      <c r="P8" s="1209">
        <f t="shared" si="1"/>
        <v>4</v>
      </c>
      <c r="Q8" s="50"/>
    </row>
    <row r="9" spans="1:20" x14ac:dyDescent="0.3">
      <c r="A9" s="86"/>
      <c r="B9" s="1203" t="s">
        <v>276</v>
      </c>
      <c r="C9" s="1206">
        <v>2006</v>
      </c>
      <c r="D9" s="1207">
        <v>55</v>
      </c>
      <c r="E9" s="1786">
        <v>21</v>
      </c>
      <c r="F9" s="1206">
        <v>6</v>
      </c>
      <c r="G9" s="1206">
        <v>25</v>
      </c>
      <c r="H9" s="1207">
        <v>52</v>
      </c>
      <c r="I9" s="1208">
        <v>21</v>
      </c>
      <c r="J9" s="1208">
        <v>6</v>
      </c>
      <c r="K9" s="1206">
        <v>22</v>
      </c>
      <c r="L9" s="1209">
        <f t="shared" si="0"/>
        <v>49</v>
      </c>
      <c r="M9" s="1210">
        <v>0</v>
      </c>
      <c r="N9" s="1208">
        <v>0</v>
      </c>
      <c r="O9" s="1208">
        <v>3</v>
      </c>
      <c r="P9" s="1209">
        <f t="shared" si="1"/>
        <v>3</v>
      </c>
      <c r="Q9" s="50"/>
    </row>
    <row r="10" spans="1:20" x14ac:dyDescent="0.3">
      <c r="A10" s="86"/>
      <c r="B10" s="1203" t="s">
        <v>277</v>
      </c>
      <c r="C10" s="1206">
        <v>2007</v>
      </c>
      <c r="D10" s="1207">
        <v>57</v>
      </c>
      <c r="E10" s="1786">
        <v>11</v>
      </c>
      <c r="F10" s="1206">
        <v>7</v>
      </c>
      <c r="G10" s="1206">
        <v>23</v>
      </c>
      <c r="H10" s="1207">
        <v>41</v>
      </c>
      <c r="I10" s="1208">
        <v>11</v>
      </c>
      <c r="J10" s="1208">
        <v>5</v>
      </c>
      <c r="K10" s="1206">
        <v>19</v>
      </c>
      <c r="L10" s="1209">
        <f t="shared" si="0"/>
        <v>35</v>
      </c>
      <c r="M10" s="1210">
        <v>0</v>
      </c>
      <c r="N10" s="1208">
        <v>2</v>
      </c>
      <c r="O10" s="1208">
        <v>4</v>
      </c>
      <c r="P10" s="1209">
        <f t="shared" si="1"/>
        <v>6</v>
      </c>
      <c r="Q10" s="50"/>
    </row>
    <row r="11" spans="1:20" x14ac:dyDescent="0.3">
      <c r="A11" s="86"/>
      <c r="B11" s="1203" t="s">
        <v>278</v>
      </c>
      <c r="C11" s="1206">
        <v>2009</v>
      </c>
      <c r="D11" s="1207">
        <v>70</v>
      </c>
      <c r="E11" s="1786">
        <v>8</v>
      </c>
      <c r="F11" s="1206">
        <v>11</v>
      </c>
      <c r="G11" s="1206">
        <v>13</v>
      </c>
      <c r="H11" s="1207">
        <v>32</v>
      </c>
      <c r="I11" s="1208">
        <v>8</v>
      </c>
      <c r="J11" s="1208">
        <v>11</v>
      </c>
      <c r="K11" s="1206">
        <v>12</v>
      </c>
      <c r="L11" s="1209">
        <f t="shared" si="0"/>
        <v>31</v>
      </c>
      <c r="M11" s="1210">
        <v>0</v>
      </c>
      <c r="N11" s="1208">
        <v>0</v>
      </c>
      <c r="O11" s="1208">
        <v>1</v>
      </c>
      <c r="P11" s="1209">
        <f t="shared" si="1"/>
        <v>1</v>
      </c>
      <c r="Q11" s="50"/>
    </row>
    <row r="12" spans="1:20" x14ac:dyDescent="0.3">
      <c r="A12" s="86"/>
      <c r="B12" s="1203" t="s">
        <v>279</v>
      </c>
      <c r="C12" s="1206">
        <v>2010</v>
      </c>
      <c r="D12" s="1207">
        <v>34</v>
      </c>
      <c r="E12" s="1786">
        <v>1</v>
      </c>
      <c r="F12" s="1206">
        <v>3</v>
      </c>
      <c r="G12" s="1206">
        <v>15</v>
      </c>
      <c r="H12" s="1207">
        <v>19</v>
      </c>
      <c r="I12" s="1208">
        <v>1</v>
      </c>
      <c r="J12" s="1208">
        <v>3</v>
      </c>
      <c r="K12" s="1206">
        <v>8</v>
      </c>
      <c r="L12" s="1209">
        <f t="shared" si="0"/>
        <v>12</v>
      </c>
      <c r="M12" s="1210">
        <v>0</v>
      </c>
      <c r="N12" s="1208">
        <v>0</v>
      </c>
      <c r="O12" s="1208">
        <v>7</v>
      </c>
      <c r="P12" s="1209">
        <v>7</v>
      </c>
      <c r="Q12" s="50"/>
    </row>
    <row r="13" spans="1:20" x14ac:dyDescent="0.3">
      <c r="A13" s="86"/>
      <c r="B13" s="1550" t="s">
        <v>237</v>
      </c>
      <c r="C13" s="1204"/>
      <c r="D13" s="1204">
        <v>360</v>
      </c>
      <c r="E13" s="1204">
        <v>81</v>
      </c>
      <c r="F13" s="1204">
        <f t="shared" ref="F13:P13" si="2">SUM(F4:F12)</f>
        <v>59</v>
      </c>
      <c r="G13" s="1204">
        <f t="shared" si="2"/>
        <v>114</v>
      </c>
      <c r="H13" s="1204">
        <f t="shared" si="2"/>
        <v>254</v>
      </c>
      <c r="I13" s="1205">
        <f t="shared" si="2"/>
        <v>79</v>
      </c>
      <c r="J13" s="1205">
        <f t="shared" si="2"/>
        <v>54</v>
      </c>
      <c r="K13" s="1205">
        <f t="shared" si="2"/>
        <v>89</v>
      </c>
      <c r="L13" s="1205">
        <f t="shared" si="2"/>
        <v>222</v>
      </c>
      <c r="M13" s="1204">
        <f t="shared" si="2"/>
        <v>2</v>
      </c>
      <c r="N13" s="1205">
        <f t="shared" si="2"/>
        <v>5</v>
      </c>
      <c r="O13" s="1205">
        <f t="shared" si="2"/>
        <v>25</v>
      </c>
      <c r="P13" s="1204">
        <f t="shared" si="2"/>
        <v>32</v>
      </c>
    </row>
    <row r="14" spans="1:20" x14ac:dyDescent="0.3">
      <c r="A14" s="86"/>
      <c r="B14" s="2762" t="s">
        <v>2465</v>
      </c>
      <c r="C14" s="2762"/>
      <c r="D14" s="2762"/>
      <c r="E14" s="2762"/>
      <c r="F14" s="2762"/>
      <c r="G14" s="2762"/>
      <c r="H14" s="2762"/>
      <c r="I14" s="2763"/>
      <c r="J14" s="2762"/>
      <c r="K14" s="2762"/>
      <c r="L14" s="2762"/>
      <c r="M14" s="2762"/>
      <c r="N14" s="2762"/>
      <c r="O14" s="2762"/>
      <c r="P14" s="2762"/>
    </row>
    <row r="15" spans="1:20" x14ac:dyDescent="0.3">
      <c r="A15" s="86"/>
      <c r="B15" s="1151"/>
      <c r="C15" s="1151"/>
      <c r="D15" s="1151"/>
      <c r="E15" s="1151"/>
      <c r="F15" s="1151"/>
      <c r="G15" s="1151"/>
      <c r="H15" s="1151"/>
      <c r="I15" s="1351"/>
      <c r="J15" s="1151"/>
      <c r="K15" s="1151"/>
      <c r="L15" s="1151"/>
      <c r="M15" s="1151"/>
      <c r="N15" s="1151"/>
      <c r="O15" s="1151"/>
      <c r="P15" s="1151"/>
    </row>
    <row r="16" spans="1:20" ht="18.75" customHeight="1" x14ac:dyDescent="0.3">
      <c r="A16" s="86"/>
      <c r="B16" s="2755" t="s">
        <v>2534</v>
      </c>
      <c r="C16" s="2755"/>
      <c r="D16" s="2755"/>
      <c r="E16" s="2755"/>
      <c r="F16" s="2755"/>
      <c r="G16" s="2755"/>
      <c r="H16" s="2755"/>
      <c r="I16" s="2764"/>
      <c r="J16" s="2755"/>
      <c r="K16" s="2755"/>
      <c r="L16" s="2755"/>
      <c r="M16" s="2755"/>
      <c r="N16" s="2755"/>
      <c r="O16" s="2755"/>
      <c r="P16" s="2755"/>
      <c r="Q16" s="2755"/>
      <c r="R16" s="2755"/>
      <c r="S16" s="2755"/>
      <c r="T16" s="2755"/>
    </row>
    <row r="17" spans="1:20" ht="18.75" customHeight="1" x14ac:dyDescent="0.3">
      <c r="A17" s="86"/>
      <c r="B17" s="1152"/>
      <c r="C17" s="1152"/>
      <c r="D17" s="1152"/>
      <c r="E17" s="1152"/>
      <c r="F17" s="1152"/>
      <c r="G17" s="1152"/>
      <c r="H17" s="1152"/>
      <c r="I17" s="1352"/>
      <c r="J17" s="1152"/>
      <c r="K17" s="1152"/>
      <c r="L17" s="1152"/>
      <c r="M17" s="1152"/>
      <c r="N17" s="1152"/>
      <c r="O17" s="1152"/>
      <c r="P17" s="1152"/>
    </row>
    <row r="18" spans="1:20" ht="61.5" customHeight="1" x14ac:dyDescent="0.3">
      <c r="A18" s="86"/>
      <c r="B18" s="2756" t="s">
        <v>266</v>
      </c>
      <c r="C18" s="2756" t="s">
        <v>2521</v>
      </c>
      <c r="D18" s="2756" t="s">
        <v>2522</v>
      </c>
      <c r="E18" s="2756" t="s">
        <v>2523</v>
      </c>
      <c r="F18" s="2756"/>
      <c r="G18" s="2756"/>
      <c r="H18" s="2756"/>
      <c r="I18" s="2756" t="s">
        <v>2773</v>
      </c>
      <c r="J18" s="2756"/>
      <c r="K18" s="2756"/>
      <c r="L18" s="2756"/>
      <c r="M18" s="2756" t="s">
        <v>267</v>
      </c>
      <c r="N18" s="2756"/>
      <c r="O18" s="2756"/>
      <c r="P18" s="2756"/>
      <c r="Q18" s="2765" t="s">
        <v>2774</v>
      </c>
      <c r="R18" s="2765"/>
      <c r="S18" s="2765"/>
      <c r="T18" s="2765"/>
    </row>
    <row r="19" spans="1:20" ht="65.25" customHeight="1" x14ac:dyDescent="0.3">
      <c r="A19" s="1787"/>
      <c r="B19" s="2756"/>
      <c r="C19" s="2756"/>
      <c r="D19" s="2756"/>
      <c r="E19" s="1788" t="s">
        <v>280</v>
      </c>
      <c r="F19" s="1202" t="s">
        <v>269</v>
      </c>
      <c r="G19" s="1202" t="s">
        <v>270</v>
      </c>
      <c r="H19" s="1202" t="s">
        <v>237</v>
      </c>
      <c r="I19" s="1202" t="s">
        <v>280</v>
      </c>
      <c r="J19" s="1202" t="s">
        <v>269</v>
      </c>
      <c r="K19" s="1202" t="s">
        <v>270</v>
      </c>
      <c r="L19" s="1202" t="s">
        <v>237</v>
      </c>
      <c r="M19" s="1202" t="s">
        <v>280</v>
      </c>
      <c r="N19" s="1202" t="s">
        <v>269</v>
      </c>
      <c r="O19" s="1202" t="s">
        <v>270</v>
      </c>
      <c r="P19" s="1202" t="s">
        <v>237</v>
      </c>
      <c r="Q19" s="1202" t="s">
        <v>280</v>
      </c>
      <c r="R19" s="1202" t="s">
        <v>269</v>
      </c>
      <c r="S19" s="1202" t="s">
        <v>270</v>
      </c>
      <c r="T19" s="1202" t="s">
        <v>237</v>
      </c>
    </row>
    <row r="20" spans="1:20" x14ac:dyDescent="0.3">
      <c r="A20" s="86"/>
      <c r="B20" s="2766" t="s">
        <v>281</v>
      </c>
      <c r="C20" s="2767"/>
      <c r="D20" s="2767"/>
      <c r="E20" s="2767"/>
      <c r="F20" s="2767"/>
      <c r="G20" s="2767"/>
      <c r="H20" s="2767"/>
      <c r="I20" s="2767"/>
      <c r="J20" s="2767"/>
      <c r="K20" s="2767"/>
      <c r="L20" s="2767"/>
      <c r="M20" s="2767"/>
      <c r="N20" s="2767"/>
      <c r="O20" s="2767"/>
      <c r="P20" s="2767"/>
      <c r="Q20" s="2767"/>
      <c r="R20" s="2767"/>
      <c r="S20" s="2767"/>
      <c r="T20" s="2767"/>
    </row>
    <row r="21" spans="1:20" x14ac:dyDescent="0.3">
      <c r="A21" s="86"/>
      <c r="B21" s="1789" t="s">
        <v>282</v>
      </c>
      <c r="C21" s="1210">
        <v>2018</v>
      </c>
      <c r="D21" s="1206">
        <v>55</v>
      </c>
      <c r="E21" s="1786">
        <v>1</v>
      </c>
      <c r="F21" s="1206">
        <v>8</v>
      </c>
      <c r="G21" s="1206">
        <v>46</v>
      </c>
      <c r="H21" s="1206">
        <f t="shared" ref="H21:H28" si="3">E21+F21+G21</f>
        <v>55</v>
      </c>
      <c r="I21" s="1206">
        <v>0</v>
      </c>
      <c r="J21" s="1206">
        <v>4</v>
      </c>
      <c r="K21" s="1206">
        <v>18</v>
      </c>
      <c r="L21" s="1210">
        <f t="shared" ref="L21:L28" si="4">I21+J21+K21</f>
        <v>22</v>
      </c>
      <c r="M21" s="1206">
        <v>1</v>
      </c>
      <c r="N21" s="1206">
        <v>4</v>
      </c>
      <c r="O21" s="1206">
        <v>28</v>
      </c>
      <c r="P21" s="1206">
        <f>M21+N21+O21</f>
        <v>33</v>
      </c>
      <c r="Q21" s="1206">
        <v>0</v>
      </c>
      <c r="R21" s="1206">
        <v>0</v>
      </c>
      <c r="S21" s="1206">
        <v>0</v>
      </c>
      <c r="T21" s="1206">
        <f>SUM(Q21:S21)</f>
        <v>0</v>
      </c>
    </row>
    <row r="22" spans="1:20" x14ac:dyDescent="0.3">
      <c r="A22" s="86"/>
      <c r="B22" s="1789" t="s">
        <v>2775</v>
      </c>
      <c r="C22" s="1210">
        <v>2019</v>
      </c>
      <c r="D22" s="1206">
        <v>14</v>
      </c>
      <c r="E22" s="1786">
        <v>1</v>
      </c>
      <c r="F22" s="1206">
        <v>5</v>
      </c>
      <c r="G22" s="1206">
        <v>8</v>
      </c>
      <c r="H22" s="1206">
        <f t="shared" si="3"/>
        <v>14</v>
      </c>
      <c r="I22" s="1206">
        <v>0</v>
      </c>
      <c r="J22" s="1206">
        <v>3</v>
      </c>
      <c r="K22" s="1206">
        <v>3</v>
      </c>
      <c r="L22" s="1210">
        <f t="shared" si="4"/>
        <v>6</v>
      </c>
      <c r="M22" s="1206">
        <v>1</v>
      </c>
      <c r="N22" s="1206">
        <v>2</v>
      </c>
      <c r="O22" s="1206">
        <v>5</v>
      </c>
      <c r="P22" s="1206">
        <f t="shared" ref="P22:P29" si="5">M22+N22+O22</f>
        <v>8</v>
      </c>
      <c r="Q22" s="1206">
        <v>0</v>
      </c>
      <c r="R22" s="1206">
        <v>0</v>
      </c>
      <c r="S22" s="1206">
        <v>0</v>
      </c>
      <c r="T22" s="1206">
        <f t="shared" ref="T22:T28" si="6">SUM(Q22:S22)</f>
        <v>0</v>
      </c>
    </row>
    <row r="23" spans="1:20" s="55" customFormat="1" x14ac:dyDescent="0.25">
      <c r="A23" s="1353"/>
      <c r="B23" s="1789" t="s">
        <v>283</v>
      </c>
      <c r="C23" s="1210">
        <v>2019</v>
      </c>
      <c r="D23" s="1206">
        <v>23</v>
      </c>
      <c r="E23" s="1786">
        <v>1</v>
      </c>
      <c r="F23" s="1206">
        <v>3</v>
      </c>
      <c r="G23" s="1206">
        <v>14</v>
      </c>
      <c r="H23" s="1206">
        <f t="shared" si="3"/>
        <v>18</v>
      </c>
      <c r="I23" s="1206">
        <v>0</v>
      </c>
      <c r="J23" s="1206">
        <v>0</v>
      </c>
      <c r="K23" s="1206">
        <v>3</v>
      </c>
      <c r="L23" s="1210">
        <f t="shared" si="4"/>
        <v>3</v>
      </c>
      <c r="M23" s="1206">
        <v>1</v>
      </c>
      <c r="N23" s="1206">
        <v>3</v>
      </c>
      <c r="O23" s="1206">
        <v>11</v>
      </c>
      <c r="P23" s="1206">
        <f t="shared" si="5"/>
        <v>15</v>
      </c>
      <c r="Q23" s="1206">
        <v>0</v>
      </c>
      <c r="R23" s="1206">
        <v>0</v>
      </c>
      <c r="S23" s="1206">
        <v>2</v>
      </c>
      <c r="T23" s="1206">
        <f t="shared" si="6"/>
        <v>2</v>
      </c>
    </row>
    <row r="24" spans="1:20" x14ac:dyDescent="0.3">
      <c r="A24" s="86"/>
      <c r="B24" s="1789" t="s">
        <v>2776</v>
      </c>
      <c r="C24" s="1210">
        <v>2019</v>
      </c>
      <c r="D24" s="1206">
        <v>7</v>
      </c>
      <c r="E24" s="1786">
        <v>0</v>
      </c>
      <c r="F24" s="1206">
        <v>0</v>
      </c>
      <c r="G24" s="1206">
        <v>7</v>
      </c>
      <c r="H24" s="1206">
        <f t="shared" si="3"/>
        <v>7</v>
      </c>
      <c r="I24" s="1206">
        <v>0</v>
      </c>
      <c r="J24" s="1206">
        <v>0</v>
      </c>
      <c r="K24" s="1206">
        <v>3</v>
      </c>
      <c r="L24" s="1210">
        <f t="shared" si="4"/>
        <v>3</v>
      </c>
      <c r="M24" s="1206">
        <v>0</v>
      </c>
      <c r="N24" s="1206">
        <v>0</v>
      </c>
      <c r="O24" s="1206">
        <v>4</v>
      </c>
      <c r="P24" s="1206">
        <f t="shared" si="5"/>
        <v>4</v>
      </c>
      <c r="Q24" s="1206">
        <v>0</v>
      </c>
      <c r="R24" s="1206">
        <v>0</v>
      </c>
      <c r="S24" s="1206">
        <v>0</v>
      </c>
      <c r="T24" s="1206">
        <f t="shared" si="6"/>
        <v>0</v>
      </c>
    </row>
    <row r="25" spans="1:20" x14ac:dyDescent="0.3">
      <c r="A25" s="86"/>
      <c r="B25" s="1789" t="s">
        <v>284</v>
      </c>
      <c r="C25" s="1210">
        <v>2020</v>
      </c>
      <c r="D25" s="1206">
        <v>11</v>
      </c>
      <c r="E25" s="1786">
        <v>1</v>
      </c>
      <c r="F25" s="1206">
        <v>2</v>
      </c>
      <c r="G25" s="1206">
        <v>8</v>
      </c>
      <c r="H25" s="1206">
        <f t="shared" si="3"/>
        <v>11</v>
      </c>
      <c r="I25" s="1206">
        <v>0</v>
      </c>
      <c r="J25" s="1206">
        <v>1</v>
      </c>
      <c r="K25" s="1206">
        <v>4</v>
      </c>
      <c r="L25" s="1210">
        <f t="shared" si="4"/>
        <v>5</v>
      </c>
      <c r="M25" s="1206">
        <v>1</v>
      </c>
      <c r="N25" s="1206">
        <v>1</v>
      </c>
      <c r="O25" s="1206">
        <v>4</v>
      </c>
      <c r="P25" s="1206">
        <f t="shared" si="5"/>
        <v>6</v>
      </c>
      <c r="Q25" s="1206">
        <v>0</v>
      </c>
      <c r="R25" s="1206">
        <v>0</v>
      </c>
      <c r="S25" s="1206">
        <v>0</v>
      </c>
      <c r="T25" s="1206">
        <f t="shared" si="6"/>
        <v>0</v>
      </c>
    </row>
    <row r="26" spans="1:20" x14ac:dyDescent="0.3">
      <c r="A26" s="86"/>
      <c r="B26" s="1789" t="s">
        <v>2777</v>
      </c>
      <c r="C26" s="1210">
        <v>2021</v>
      </c>
      <c r="D26" s="1206">
        <v>21</v>
      </c>
      <c r="E26" s="1786">
        <v>2</v>
      </c>
      <c r="F26" s="1206">
        <v>4</v>
      </c>
      <c r="G26" s="1206">
        <v>15</v>
      </c>
      <c r="H26" s="1206">
        <f t="shared" si="3"/>
        <v>21</v>
      </c>
      <c r="I26" s="1206">
        <v>0</v>
      </c>
      <c r="J26" s="1206">
        <v>2</v>
      </c>
      <c r="K26" s="1206">
        <v>0</v>
      </c>
      <c r="L26" s="1210">
        <f t="shared" si="4"/>
        <v>2</v>
      </c>
      <c r="M26" s="1331">
        <v>2</v>
      </c>
      <c r="N26" s="1331">
        <v>2</v>
      </c>
      <c r="O26" s="1331">
        <v>15</v>
      </c>
      <c r="P26" s="1206">
        <f t="shared" si="5"/>
        <v>19</v>
      </c>
      <c r="Q26" s="1206">
        <v>0</v>
      </c>
      <c r="R26" s="1206">
        <v>0</v>
      </c>
      <c r="S26" s="1206">
        <v>1</v>
      </c>
      <c r="T26" s="1206">
        <f t="shared" si="6"/>
        <v>1</v>
      </c>
    </row>
    <row r="27" spans="1:20" x14ac:dyDescent="0.3">
      <c r="A27" s="86"/>
      <c r="B27" s="1789" t="s">
        <v>285</v>
      </c>
      <c r="C27" s="1210">
        <v>2021</v>
      </c>
      <c r="D27" s="1206">
        <v>8</v>
      </c>
      <c r="E27" s="1786">
        <v>1</v>
      </c>
      <c r="F27" s="1206">
        <v>2</v>
      </c>
      <c r="G27" s="1206">
        <v>5</v>
      </c>
      <c r="H27" s="1206">
        <f t="shared" si="3"/>
        <v>8</v>
      </c>
      <c r="I27" s="1206">
        <v>0</v>
      </c>
      <c r="J27" s="1206">
        <v>0</v>
      </c>
      <c r="K27" s="1206">
        <v>2</v>
      </c>
      <c r="L27" s="1210">
        <f t="shared" si="4"/>
        <v>2</v>
      </c>
      <c r="M27" s="1331">
        <v>1</v>
      </c>
      <c r="N27" s="1331">
        <v>2</v>
      </c>
      <c r="O27" s="1331">
        <v>3</v>
      </c>
      <c r="P27" s="1206">
        <f t="shared" si="5"/>
        <v>6</v>
      </c>
      <c r="Q27" s="1206">
        <v>0</v>
      </c>
      <c r="R27" s="1206">
        <v>0</v>
      </c>
      <c r="S27" s="1206">
        <v>0</v>
      </c>
      <c r="T27" s="1206">
        <f t="shared" si="6"/>
        <v>0</v>
      </c>
    </row>
    <row r="28" spans="1:20" x14ac:dyDescent="0.3">
      <c r="A28" s="86"/>
      <c r="B28" s="1789" t="s">
        <v>2778</v>
      </c>
      <c r="C28" s="1210">
        <v>2022</v>
      </c>
      <c r="D28" s="1206">
        <v>10</v>
      </c>
      <c r="E28" s="1786">
        <v>4</v>
      </c>
      <c r="F28" s="1206">
        <v>4</v>
      </c>
      <c r="G28" s="1206">
        <v>2</v>
      </c>
      <c r="H28" s="1206">
        <f t="shared" si="3"/>
        <v>10</v>
      </c>
      <c r="I28" s="1206">
        <v>0</v>
      </c>
      <c r="J28" s="1206">
        <v>0</v>
      </c>
      <c r="K28" s="1206">
        <v>0</v>
      </c>
      <c r="L28" s="1210">
        <f t="shared" si="4"/>
        <v>0</v>
      </c>
      <c r="M28" s="1331">
        <v>4</v>
      </c>
      <c r="N28" s="1331">
        <v>4</v>
      </c>
      <c r="O28" s="1331">
        <v>2</v>
      </c>
      <c r="P28" s="1206">
        <f t="shared" si="5"/>
        <v>10</v>
      </c>
      <c r="Q28" s="1206">
        <v>0</v>
      </c>
      <c r="R28" s="1206">
        <v>0</v>
      </c>
      <c r="S28" s="1206">
        <v>0</v>
      </c>
      <c r="T28" s="1206">
        <f t="shared" si="6"/>
        <v>0</v>
      </c>
    </row>
    <row r="29" spans="1:20" s="55" customFormat="1" ht="21.75" customHeight="1" x14ac:dyDescent="0.25">
      <c r="A29" s="1353"/>
      <c r="B29" s="1789" t="s">
        <v>2779</v>
      </c>
      <c r="C29" s="1210">
        <v>2024</v>
      </c>
      <c r="D29" s="1206">
        <v>28</v>
      </c>
      <c r="E29" s="1206">
        <v>11</v>
      </c>
      <c r="F29" s="1206">
        <v>8</v>
      </c>
      <c r="G29" s="1206">
        <v>9</v>
      </c>
      <c r="H29" s="1206">
        <v>28</v>
      </c>
      <c r="I29" s="1206">
        <v>0</v>
      </c>
      <c r="J29" s="1206">
        <v>0</v>
      </c>
      <c r="K29" s="1206">
        <v>0</v>
      </c>
      <c r="L29" s="1210"/>
      <c r="M29" s="1331">
        <v>11</v>
      </c>
      <c r="N29" s="1331">
        <v>8</v>
      </c>
      <c r="O29" s="1331">
        <v>9</v>
      </c>
      <c r="P29" s="1206">
        <f t="shared" si="5"/>
        <v>28</v>
      </c>
      <c r="Q29" s="1206"/>
      <c r="R29" s="1206"/>
      <c r="S29" s="1206">
        <v>7</v>
      </c>
      <c r="T29" s="1206">
        <v>7</v>
      </c>
    </row>
    <row r="30" spans="1:20" ht="27" customHeight="1" x14ac:dyDescent="0.3">
      <c r="A30" s="86"/>
      <c r="B30" s="2770" t="s">
        <v>286</v>
      </c>
      <c r="C30" s="2771"/>
      <c r="D30" s="1211">
        <f t="shared" ref="D30:I30" si="7">SUM(D21:D29)</f>
        <v>177</v>
      </c>
      <c r="E30" s="1790">
        <f t="shared" si="7"/>
        <v>22</v>
      </c>
      <c r="F30" s="1790">
        <f t="shared" si="7"/>
        <v>36</v>
      </c>
      <c r="G30" s="1790">
        <f t="shared" si="7"/>
        <v>114</v>
      </c>
      <c r="H30" s="1211">
        <f t="shared" si="7"/>
        <v>172</v>
      </c>
      <c r="I30" s="1211">
        <f t="shared" si="7"/>
        <v>0</v>
      </c>
      <c r="J30" s="1211">
        <f>SUM(J21:J28)</f>
        <v>10</v>
      </c>
      <c r="K30" s="1211">
        <f>SUM(K21:K28)</f>
        <v>33</v>
      </c>
      <c r="L30" s="1211">
        <f>SUM(L21:L28)</f>
        <v>43</v>
      </c>
      <c r="M30" s="1211">
        <f>SUM(M21:M29)</f>
        <v>22</v>
      </c>
      <c r="N30" s="1211">
        <f>SUM(N21:N29)</f>
        <v>26</v>
      </c>
      <c r="O30" s="1211">
        <f>SUM(O21:O29)</f>
        <v>81</v>
      </c>
      <c r="P30" s="1211">
        <f>SUM(P21:P29)</f>
        <v>129</v>
      </c>
      <c r="Q30" s="1206">
        <f>SUM(Q21:Q28)</f>
        <v>0</v>
      </c>
      <c r="R30" s="1206">
        <f>SUM(R21:R28)</f>
        <v>0</v>
      </c>
      <c r="S30" s="1211">
        <f>SUM(S21:S29)</f>
        <v>10</v>
      </c>
      <c r="T30" s="1211">
        <f>SUM(T21:T29)</f>
        <v>10</v>
      </c>
    </row>
    <row r="31" spans="1:20" x14ac:dyDescent="0.3">
      <c r="A31" s="86"/>
      <c r="B31" s="2768" t="s">
        <v>287</v>
      </c>
      <c r="C31" s="2769"/>
      <c r="D31" s="2769"/>
      <c r="E31" s="2769"/>
      <c r="F31" s="2769"/>
      <c r="G31" s="2769"/>
      <c r="H31" s="2769"/>
      <c r="I31" s="2769"/>
      <c r="J31" s="2769"/>
      <c r="K31" s="2769"/>
      <c r="L31" s="2769"/>
      <c r="M31" s="2769"/>
      <c r="N31" s="2769"/>
      <c r="O31" s="2769"/>
      <c r="P31" s="2769"/>
      <c r="Q31" s="2769"/>
      <c r="R31" s="2769"/>
      <c r="S31" s="2769"/>
      <c r="T31" s="2769"/>
    </row>
    <row r="32" spans="1:20" x14ac:dyDescent="0.3">
      <c r="A32" s="86"/>
      <c r="B32" s="1210" t="s">
        <v>288</v>
      </c>
      <c r="C32" s="1210">
        <v>2016</v>
      </c>
      <c r="D32" s="1206">
        <v>46</v>
      </c>
      <c r="E32" s="1786">
        <v>0</v>
      </c>
      <c r="F32" s="1206">
        <v>7</v>
      </c>
      <c r="G32" s="1206">
        <v>23</v>
      </c>
      <c r="H32" s="1206">
        <f>E32+F32+G32</f>
        <v>30</v>
      </c>
      <c r="I32" s="1206">
        <v>0</v>
      </c>
      <c r="J32" s="1206">
        <v>4</v>
      </c>
      <c r="K32" s="1206">
        <v>14</v>
      </c>
      <c r="L32" s="1210">
        <f>SUM(I32+J32+K32)</f>
        <v>18</v>
      </c>
      <c r="M32" s="1210">
        <v>0</v>
      </c>
      <c r="N32" s="1210">
        <v>3</v>
      </c>
      <c r="O32" s="1210">
        <v>9</v>
      </c>
      <c r="P32" s="1206">
        <f>+M32+N32+O32</f>
        <v>12</v>
      </c>
      <c r="Q32" s="1791">
        <v>0</v>
      </c>
      <c r="R32" s="1791">
        <v>0</v>
      </c>
      <c r="S32" s="1791">
        <v>3</v>
      </c>
      <c r="T32" s="1791">
        <f>SUM(Q32:S32)</f>
        <v>3</v>
      </c>
    </row>
    <row r="33" spans="1:20" x14ac:dyDescent="0.3">
      <c r="A33" s="86"/>
      <c r="B33" s="1210" t="s">
        <v>289</v>
      </c>
      <c r="C33" s="1210">
        <v>2018</v>
      </c>
      <c r="D33" s="1206">
        <v>25</v>
      </c>
      <c r="E33" s="1786">
        <v>0</v>
      </c>
      <c r="F33" s="1206">
        <v>7</v>
      </c>
      <c r="G33" s="1206">
        <v>17</v>
      </c>
      <c r="H33" s="1206">
        <f>E33+F33+G33</f>
        <v>24</v>
      </c>
      <c r="I33" s="1206">
        <v>0</v>
      </c>
      <c r="J33" s="1206">
        <v>0</v>
      </c>
      <c r="K33" s="1206">
        <v>7</v>
      </c>
      <c r="L33" s="1210">
        <f>SUM(I33+J33+K33)</f>
        <v>7</v>
      </c>
      <c r="M33" s="1210">
        <v>0</v>
      </c>
      <c r="N33" s="1210">
        <v>7</v>
      </c>
      <c r="O33" s="1210">
        <v>10</v>
      </c>
      <c r="P33" s="1206">
        <f>+M33+N33+O33</f>
        <v>17</v>
      </c>
      <c r="Q33" s="1791">
        <v>0</v>
      </c>
      <c r="R33" s="1791">
        <v>0</v>
      </c>
      <c r="S33" s="1791">
        <v>1</v>
      </c>
      <c r="T33" s="1791">
        <f>SUM(Q33:S33)</f>
        <v>1</v>
      </c>
    </row>
    <row r="34" spans="1:20" x14ac:dyDescent="0.3">
      <c r="A34" s="86"/>
      <c r="B34" s="1210" t="s">
        <v>2780</v>
      </c>
      <c r="C34" s="1210">
        <v>2021</v>
      </c>
      <c r="D34" s="1206">
        <v>32</v>
      </c>
      <c r="E34" s="1786">
        <v>1</v>
      </c>
      <c r="F34" s="1206">
        <v>17</v>
      </c>
      <c r="G34" s="1206">
        <v>12</v>
      </c>
      <c r="H34" s="1206">
        <f>E34+F34+G34</f>
        <v>30</v>
      </c>
      <c r="I34" s="1206">
        <v>1</v>
      </c>
      <c r="J34" s="1206">
        <v>5</v>
      </c>
      <c r="K34" s="1206">
        <v>6</v>
      </c>
      <c r="L34" s="1210">
        <f>SUM(I34+J34+K34)</f>
        <v>12</v>
      </c>
      <c r="M34" s="1210">
        <v>0</v>
      </c>
      <c r="N34" s="1210">
        <v>12</v>
      </c>
      <c r="O34" s="1210">
        <v>6</v>
      </c>
      <c r="P34" s="1206">
        <f>+M34+N34+O34</f>
        <v>18</v>
      </c>
      <c r="Q34" s="1791">
        <v>0</v>
      </c>
      <c r="R34" s="1791">
        <v>0</v>
      </c>
      <c r="S34" s="1791">
        <v>1</v>
      </c>
      <c r="T34" s="1791">
        <f>SUM(Q34:S34)</f>
        <v>1</v>
      </c>
    </row>
    <row r="35" spans="1:20" x14ac:dyDescent="0.3">
      <c r="A35" s="86"/>
      <c r="B35" s="1210" t="s">
        <v>2781</v>
      </c>
      <c r="C35" s="1792">
        <v>2024</v>
      </c>
      <c r="D35" s="1206">
        <v>3</v>
      </c>
      <c r="E35" s="1786" t="s">
        <v>2782</v>
      </c>
      <c r="F35" s="1206">
        <v>2</v>
      </c>
      <c r="G35" s="1206">
        <v>0</v>
      </c>
      <c r="H35" s="1206">
        <f>E35+F35+G35</f>
        <v>2</v>
      </c>
      <c r="I35" s="1206">
        <v>0</v>
      </c>
      <c r="J35" s="1206">
        <v>0</v>
      </c>
      <c r="K35" s="1206">
        <v>0</v>
      </c>
      <c r="L35" s="1210">
        <f>SUM(I35+J35+K35)</f>
        <v>0</v>
      </c>
      <c r="M35" s="1210">
        <v>0</v>
      </c>
      <c r="N35" s="1210">
        <v>2</v>
      </c>
      <c r="O35" s="1210">
        <v>0</v>
      </c>
      <c r="P35" s="1206">
        <f>+M35+N35+O35</f>
        <v>2</v>
      </c>
      <c r="Q35" s="1791"/>
      <c r="R35" s="1791"/>
      <c r="S35" s="1791"/>
      <c r="T35" s="1791"/>
    </row>
    <row r="36" spans="1:20" x14ac:dyDescent="0.3">
      <c r="A36" s="86"/>
      <c r="B36" s="2757" t="s">
        <v>290</v>
      </c>
      <c r="C36" s="2758"/>
      <c r="D36" s="1211">
        <f>SUM(D32:D35)</f>
        <v>106</v>
      </c>
      <c r="E36" s="1211">
        <f>SUM(E32:E35)</f>
        <v>1</v>
      </c>
      <c r="F36" s="1211">
        <f>SUM(F32:F35)</f>
        <v>33</v>
      </c>
      <c r="G36" s="1211">
        <f>SUM(G32:G35)</f>
        <v>52</v>
      </c>
      <c r="H36" s="1211">
        <f>SUM(H32:H35)</f>
        <v>86</v>
      </c>
      <c r="I36" s="1211">
        <v>1</v>
      </c>
      <c r="J36" s="1211">
        <v>9</v>
      </c>
      <c r="K36" s="1211">
        <v>27</v>
      </c>
      <c r="L36" s="1211">
        <f>SUM(L32:L35)</f>
        <v>37</v>
      </c>
      <c r="M36" s="1211">
        <f>SUM(M32:M35)</f>
        <v>0</v>
      </c>
      <c r="N36" s="1211">
        <f>SUM(N32:N35)</f>
        <v>24</v>
      </c>
      <c r="O36" s="1211">
        <f>SUM(O32:O35)</f>
        <v>25</v>
      </c>
      <c r="P36" s="1211">
        <f>SUM(P32:P35)</f>
        <v>49</v>
      </c>
      <c r="Q36" s="1211">
        <f>SUM(Q32:Q34)</f>
        <v>0</v>
      </c>
      <c r="R36" s="1211">
        <f>SUM(R32:R34)</f>
        <v>0</v>
      </c>
      <c r="S36" s="1211">
        <f>SUM(S32:S34)</f>
        <v>5</v>
      </c>
      <c r="T36" s="1211">
        <f>SUM(T32:T34)</f>
        <v>5</v>
      </c>
    </row>
    <row r="37" spans="1:20" x14ac:dyDescent="0.3">
      <c r="A37" s="86"/>
      <c r="B37" s="2759" t="s">
        <v>237</v>
      </c>
      <c r="C37" s="2760"/>
      <c r="D37" s="1331">
        <f>D30+D36</f>
        <v>283</v>
      </c>
      <c r="E37" s="1793">
        <f t="shared" ref="E37:T37" si="8">E30+E36</f>
        <v>23</v>
      </c>
      <c r="F37" s="1331">
        <f t="shared" si="8"/>
        <v>69</v>
      </c>
      <c r="G37" s="1331">
        <f t="shared" si="8"/>
        <v>166</v>
      </c>
      <c r="H37" s="1331">
        <f t="shared" si="8"/>
        <v>258</v>
      </c>
      <c r="I37" s="1331">
        <f t="shared" si="8"/>
        <v>1</v>
      </c>
      <c r="J37" s="1331">
        <f t="shared" si="8"/>
        <v>19</v>
      </c>
      <c r="K37" s="1331">
        <f t="shared" si="8"/>
        <v>60</v>
      </c>
      <c r="L37" s="1331">
        <f t="shared" si="8"/>
        <v>80</v>
      </c>
      <c r="M37" s="1331">
        <f t="shared" si="8"/>
        <v>22</v>
      </c>
      <c r="N37" s="1331">
        <f t="shared" si="8"/>
        <v>50</v>
      </c>
      <c r="O37" s="1331">
        <f t="shared" si="8"/>
        <v>106</v>
      </c>
      <c r="P37" s="1331">
        <f t="shared" si="8"/>
        <v>178</v>
      </c>
      <c r="Q37" s="1331">
        <f t="shared" si="8"/>
        <v>0</v>
      </c>
      <c r="R37" s="1331">
        <f t="shared" si="8"/>
        <v>0</v>
      </c>
      <c r="S37" s="1331">
        <f t="shared" si="8"/>
        <v>15</v>
      </c>
      <c r="T37" s="1331">
        <f t="shared" si="8"/>
        <v>15</v>
      </c>
    </row>
    <row r="38" spans="1:20" ht="17.25" x14ac:dyDescent="0.3">
      <c r="A38" s="86"/>
      <c r="B38" s="1212"/>
      <c r="C38" s="1212"/>
      <c r="D38" s="1212"/>
      <c r="E38" s="1794"/>
      <c r="F38" s="1212"/>
      <c r="G38" s="1212"/>
      <c r="H38" s="1212"/>
      <c r="I38" s="1212"/>
      <c r="J38" s="1212"/>
      <c r="K38" s="1212"/>
      <c r="L38" s="1212"/>
      <c r="M38" s="1212"/>
      <c r="N38" s="1212"/>
      <c r="O38" s="1212"/>
      <c r="P38" s="1212"/>
      <c r="Q38" s="1213"/>
      <c r="R38" s="1213"/>
      <c r="S38" s="1213"/>
      <c r="T38" s="1213"/>
    </row>
    <row r="39" spans="1:20" x14ac:dyDescent="0.3">
      <c r="A39" s="86"/>
      <c r="B39" s="2761" t="s">
        <v>291</v>
      </c>
      <c r="C39" s="2761"/>
      <c r="D39" s="2761"/>
      <c r="E39" s="2761"/>
      <c r="F39" s="2761"/>
      <c r="G39" s="2761"/>
      <c r="H39" s="2761"/>
      <c r="I39" s="2761"/>
      <c r="J39" s="2761"/>
      <c r="K39" s="2761"/>
      <c r="L39" s="2761"/>
      <c r="M39" s="2761"/>
      <c r="N39" s="2761"/>
      <c r="O39" s="2761"/>
      <c r="P39" s="2761"/>
      <c r="Q39" s="1213"/>
      <c r="R39" s="1213"/>
      <c r="S39" s="1213"/>
      <c r="T39" s="1213"/>
    </row>
    <row r="40" spans="1:20" x14ac:dyDescent="0.3">
      <c r="A40" s="86"/>
      <c r="B40" s="1214" t="s">
        <v>292</v>
      </c>
      <c r="C40" s="1214"/>
      <c r="D40" s="1214"/>
      <c r="E40" s="1795"/>
      <c r="F40" s="1214"/>
      <c r="G40" s="1214"/>
      <c r="H40" s="1214"/>
      <c r="I40" s="1214"/>
      <c r="J40" s="1214"/>
      <c r="K40" s="1214"/>
      <c r="L40" s="1214"/>
      <c r="M40" s="1214"/>
      <c r="N40" s="1214"/>
      <c r="O40" s="1214"/>
      <c r="P40" s="1214"/>
      <c r="Q40" s="1213"/>
      <c r="R40" s="1213"/>
      <c r="S40" s="1213"/>
      <c r="T40" s="1213"/>
    </row>
    <row r="41" spans="1:20" x14ac:dyDescent="0.3">
      <c r="A41" s="86"/>
      <c r="B41" s="1214" t="s">
        <v>293</v>
      </c>
      <c r="C41" s="1214"/>
      <c r="D41" s="1214"/>
      <c r="E41" s="1795"/>
      <c r="F41" s="1214"/>
      <c r="G41" s="1214"/>
      <c r="H41" s="1214"/>
      <c r="I41" s="1214"/>
      <c r="J41" s="1214"/>
      <c r="K41" s="1214"/>
      <c r="L41" s="1214"/>
      <c r="M41" s="1214"/>
      <c r="N41" s="1214"/>
      <c r="O41" s="1214"/>
      <c r="P41" s="1214"/>
      <c r="Q41" s="1213"/>
      <c r="R41" s="1213"/>
      <c r="S41" s="1213"/>
      <c r="T41" s="1213"/>
    </row>
    <row r="42" spans="1:20" ht="21" x14ac:dyDescent="0.35">
      <c r="A42" s="657"/>
      <c r="B42" s="1214" t="s">
        <v>294</v>
      </c>
      <c r="C42" s="1214"/>
      <c r="D42" s="1214"/>
      <c r="E42" s="1795"/>
      <c r="F42" s="1214"/>
      <c r="G42" s="1214"/>
      <c r="H42" s="1214"/>
      <c r="I42" s="1214"/>
      <c r="J42" s="1214"/>
      <c r="K42" s="1214"/>
      <c r="L42" s="1214"/>
      <c r="M42" s="1214"/>
      <c r="N42" s="1214"/>
      <c r="O42" s="1214"/>
      <c r="P42" s="1214"/>
      <c r="Q42" s="1213"/>
      <c r="R42" s="1213"/>
      <c r="S42" s="1213"/>
      <c r="T42" s="1213"/>
    </row>
    <row r="43" spans="1:20" x14ac:dyDescent="0.3">
      <c r="A43" s="540"/>
      <c r="B43" s="1214" t="s">
        <v>295</v>
      </c>
      <c r="C43" s="1214"/>
      <c r="D43" s="1214"/>
      <c r="E43" s="1795"/>
      <c r="F43" s="1214"/>
      <c r="G43" s="1214"/>
      <c r="H43" s="1214"/>
      <c r="I43" s="1214"/>
      <c r="J43" s="1214"/>
      <c r="K43" s="1214"/>
      <c r="L43" s="1214"/>
      <c r="M43" s="1214"/>
      <c r="N43" s="1214"/>
      <c r="O43" s="1214"/>
      <c r="P43" s="1214"/>
      <c r="Q43" s="1213"/>
      <c r="R43" s="1213"/>
      <c r="S43" s="1213"/>
      <c r="T43" s="1213"/>
    </row>
    <row r="44" spans="1:20" x14ac:dyDescent="0.3">
      <c r="A44" s="1354"/>
      <c r="I44" s="87"/>
    </row>
    <row r="45" spans="1:20" x14ac:dyDescent="0.3">
      <c r="A45" s="86"/>
      <c r="I45" s="87"/>
    </row>
    <row r="46" spans="1:20" x14ac:dyDescent="0.3">
      <c r="A46" s="86"/>
      <c r="I46" s="87"/>
    </row>
    <row r="47" spans="1:20" x14ac:dyDescent="0.3">
      <c r="A47" s="86"/>
      <c r="I47" s="87"/>
    </row>
    <row r="48" spans="1:20" x14ac:dyDescent="0.3">
      <c r="A48" s="86"/>
      <c r="I48" s="87"/>
    </row>
    <row r="49" spans="1:9" x14ac:dyDescent="0.3">
      <c r="A49" s="86"/>
      <c r="I49" s="87"/>
    </row>
    <row r="50" spans="1:9" x14ac:dyDescent="0.3">
      <c r="A50" s="86"/>
      <c r="I50" s="87"/>
    </row>
    <row r="51" spans="1:9" x14ac:dyDescent="0.3">
      <c r="A51" s="86"/>
      <c r="I51" s="87"/>
    </row>
    <row r="52" spans="1:9" x14ac:dyDescent="0.3">
      <c r="A52" s="86"/>
      <c r="I52" s="87"/>
    </row>
    <row r="53" spans="1:9" x14ac:dyDescent="0.3">
      <c r="A53" s="86"/>
      <c r="I53" s="87"/>
    </row>
    <row r="54" spans="1:9" x14ac:dyDescent="0.3">
      <c r="A54" s="86"/>
      <c r="I54" s="87"/>
    </row>
    <row r="55" spans="1:9" x14ac:dyDescent="0.3">
      <c r="A55" s="86"/>
      <c r="I55" s="87"/>
    </row>
    <row r="56" spans="1:9" x14ac:dyDescent="0.3">
      <c r="A56" s="86"/>
      <c r="I56" s="87"/>
    </row>
    <row r="57" spans="1:9" x14ac:dyDescent="0.3">
      <c r="A57" s="86"/>
      <c r="I57" s="87"/>
    </row>
    <row r="58" spans="1:9" x14ac:dyDescent="0.3">
      <c r="A58" s="86"/>
      <c r="I58" s="87"/>
    </row>
    <row r="59" spans="1:9" x14ac:dyDescent="0.3">
      <c r="A59" s="86"/>
      <c r="I59" s="87"/>
    </row>
    <row r="60" spans="1:9" x14ac:dyDescent="0.3">
      <c r="A60" s="86"/>
      <c r="I60" s="87"/>
    </row>
    <row r="61" spans="1:9" x14ac:dyDescent="0.3">
      <c r="A61" s="86"/>
      <c r="I61" s="87"/>
    </row>
    <row r="62" spans="1:9" ht="1.5" customHeight="1" x14ac:dyDescent="0.3">
      <c r="A62" s="86"/>
      <c r="I62" s="87"/>
    </row>
    <row r="63" spans="1:9" x14ac:dyDescent="0.3">
      <c r="A63" s="86"/>
      <c r="I63" s="87"/>
    </row>
    <row r="64" spans="1:9" x14ac:dyDescent="0.3">
      <c r="A64" s="86"/>
      <c r="I64" s="87"/>
    </row>
    <row r="65" spans="1:9" x14ac:dyDescent="0.3">
      <c r="A65" s="86"/>
      <c r="I65" s="87"/>
    </row>
    <row r="66" spans="1:9" x14ac:dyDescent="0.3">
      <c r="A66" s="86"/>
      <c r="I66" s="87"/>
    </row>
    <row r="67" spans="1:9" x14ac:dyDescent="0.3">
      <c r="A67" s="2742"/>
      <c r="B67" s="2743"/>
      <c r="C67" s="2743"/>
      <c r="D67" s="2743"/>
      <c r="E67" s="2743"/>
      <c r="F67" s="2743"/>
      <c r="G67" s="2743"/>
      <c r="H67" s="2743"/>
      <c r="I67" s="2744"/>
    </row>
    <row r="68" spans="1:9" x14ac:dyDescent="0.3">
      <c r="A68" s="2742"/>
      <c r="B68" s="2743"/>
      <c r="C68" s="2743"/>
      <c r="D68" s="2743"/>
      <c r="E68" s="2743"/>
      <c r="F68" s="2743"/>
      <c r="G68" s="2743"/>
      <c r="H68" s="2743"/>
      <c r="I68" s="2744"/>
    </row>
    <row r="69" spans="1:9" ht="17.25" customHeight="1" x14ac:dyDescent="0.3">
      <c r="A69" s="1355"/>
      <c r="B69" s="91"/>
      <c r="C69" s="91"/>
      <c r="D69" s="91"/>
      <c r="E69" s="91"/>
      <c r="F69" s="91"/>
      <c r="G69" s="91"/>
      <c r="H69" s="91"/>
      <c r="I69" s="1356"/>
    </row>
    <row r="70" spans="1:9" ht="30.75" customHeight="1" x14ac:dyDescent="0.35">
      <c r="A70" s="2745"/>
      <c r="B70" s="2746"/>
      <c r="C70" s="2746"/>
      <c r="D70" s="2746"/>
      <c r="E70" s="2746"/>
      <c r="F70" s="2746"/>
      <c r="G70" s="2746"/>
      <c r="H70" s="2746"/>
      <c r="I70" s="2747"/>
    </row>
    <row r="71" spans="1:9" x14ac:dyDescent="0.3">
      <c r="A71" s="2748"/>
      <c r="B71" s="2749"/>
      <c r="C71" s="2749"/>
      <c r="D71" s="2749"/>
      <c r="E71" s="2749"/>
      <c r="F71" s="2749"/>
      <c r="G71" s="2749"/>
      <c r="H71" s="2749"/>
      <c r="I71" s="2750"/>
    </row>
    <row r="72" spans="1:9" x14ac:dyDescent="0.3">
      <c r="A72" s="1354"/>
      <c r="I72" s="87"/>
    </row>
    <row r="73" spans="1:9" x14ac:dyDescent="0.3">
      <c r="A73" s="86"/>
      <c r="I73" s="87"/>
    </row>
    <row r="74" spans="1:9" x14ac:dyDescent="0.3">
      <c r="A74" s="86"/>
      <c r="I74" s="87"/>
    </row>
    <row r="75" spans="1:9" x14ac:dyDescent="0.3">
      <c r="A75" s="86"/>
      <c r="I75" s="87"/>
    </row>
    <row r="76" spans="1:9" x14ac:dyDescent="0.3">
      <c r="A76" s="86"/>
      <c r="I76" s="87"/>
    </row>
    <row r="77" spans="1:9" x14ac:dyDescent="0.3">
      <c r="A77" s="86"/>
      <c r="I77" s="87"/>
    </row>
    <row r="78" spans="1:9" x14ac:dyDescent="0.3">
      <c r="A78" s="86"/>
      <c r="I78" s="87"/>
    </row>
    <row r="79" spans="1:9" x14ac:dyDescent="0.3">
      <c r="A79" s="2751"/>
      <c r="B79" s="2752"/>
      <c r="C79" s="2752"/>
      <c r="D79" s="2752"/>
      <c r="E79" s="2752"/>
      <c r="F79" s="2752"/>
      <c r="G79" s="2752"/>
      <c r="H79" s="2752"/>
      <c r="I79" s="2753"/>
    </row>
    <row r="80" spans="1:9" ht="17.25" thickBot="1" x14ac:dyDescent="0.35">
      <c r="A80" s="496"/>
      <c r="B80" s="88"/>
      <c r="C80" s="88"/>
      <c r="D80" s="88"/>
      <c r="E80" s="88"/>
      <c r="F80" s="88"/>
      <c r="G80" s="88"/>
      <c r="H80" s="88"/>
      <c r="I80" s="89"/>
    </row>
  </sheetData>
  <mergeCells count="26">
    <mergeCell ref="I18:L18"/>
    <mergeCell ref="M18:P18"/>
    <mergeCell ref="Q18:T18"/>
    <mergeCell ref="B20:T20"/>
    <mergeCell ref="B31:T31"/>
    <mergeCell ref="B30:C30"/>
    <mergeCell ref="B18:B19"/>
    <mergeCell ref="C18:C19"/>
    <mergeCell ref="D18:D19"/>
    <mergeCell ref="E18:H18"/>
    <mergeCell ref="A67:I68"/>
    <mergeCell ref="A70:I70"/>
    <mergeCell ref="A71:I71"/>
    <mergeCell ref="A79:I79"/>
    <mergeCell ref="B1:P1"/>
    <mergeCell ref="M2:P2"/>
    <mergeCell ref="B2:B3"/>
    <mergeCell ref="C2:C3"/>
    <mergeCell ref="D2:D3"/>
    <mergeCell ref="E2:H2"/>
    <mergeCell ref="I2:L2"/>
    <mergeCell ref="B36:C36"/>
    <mergeCell ref="B37:C37"/>
    <mergeCell ref="B39:P39"/>
    <mergeCell ref="B14:P14"/>
    <mergeCell ref="B16:T16"/>
  </mergeCells>
  <pageMargins left="0.25" right="0.25" top="0.75" bottom="0.75" header="0.3" footer="0.3"/>
  <pageSetup scale="32" orientation="landscape"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FA6F5B-CA3F-4C91-A029-4973471D09EF}">
  <sheetPr>
    <tabColor theme="0"/>
    <pageSetUpPr fitToPage="1"/>
  </sheetPr>
  <dimension ref="A1:K60"/>
  <sheetViews>
    <sheetView showGridLines="0" view="pageLayout" topLeftCell="C44" zoomScale="85" zoomScaleNormal="120" zoomScalePageLayoutView="85" workbookViewId="0">
      <selection activeCell="B81" sqref="B81"/>
    </sheetView>
  </sheetViews>
  <sheetFormatPr defaultColWidth="9.140625" defaultRowHeight="15.75" x14ac:dyDescent="0.25"/>
  <cols>
    <col min="1" max="1" width="22" style="390" customWidth="1"/>
    <col min="2" max="2" width="25.7109375" style="390" customWidth="1"/>
    <col min="3" max="3" width="11" style="390" customWidth="1"/>
    <col min="4" max="4" width="8.7109375" style="390" customWidth="1"/>
    <col min="5" max="5" width="13.85546875" style="390" customWidth="1"/>
    <col min="6" max="6" width="12.140625" style="390" customWidth="1"/>
    <col min="7" max="7" width="12.5703125" style="390" customWidth="1"/>
    <col min="8" max="8" width="21" style="390" bestFit="1" customWidth="1"/>
    <col min="9" max="10" width="21" style="390" customWidth="1"/>
    <col min="11" max="16384" width="9.140625" style="390"/>
  </cols>
  <sheetData>
    <row r="1" spans="1:10" x14ac:dyDescent="0.25">
      <c r="A1" s="58"/>
      <c r="B1" s="58"/>
      <c r="C1" s="58"/>
      <c r="D1" s="58"/>
      <c r="E1" s="58"/>
      <c r="F1" s="58"/>
      <c r="G1" s="58"/>
      <c r="H1" s="58"/>
      <c r="I1" s="58"/>
      <c r="J1" s="58"/>
    </row>
    <row r="2" spans="1:10" ht="16.5" thickBot="1" x14ac:dyDescent="0.3">
      <c r="A2" s="58"/>
      <c r="B2" s="58"/>
      <c r="C2" s="58"/>
      <c r="D2" s="58"/>
      <c r="E2" s="58"/>
      <c r="F2" s="58"/>
      <c r="G2" s="58"/>
      <c r="H2" s="58"/>
      <c r="I2" s="58"/>
      <c r="J2" s="58"/>
    </row>
    <row r="3" spans="1:10" ht="18.75" customHeight="1" x14ac:dyDescent="0.25">
      <c r="A3" s="2821" t="s">
        <v>297</v>
      </c>
      <c r="B3" s="2822"/>
      <c r="C3" s="2822"/>
      <c r="D3" s="2822"/>
      <c r="E3" s="2822"/>
      <c r="F3" s="2822"/>
      <c r="G3" s="2822"/>
      <c r="H3" s="2822"/>
      <c r="I3" s="2822"/>
      <c r="J3" s="2822"/>
    </row>
    <row r="4" spans="1:10" ht="16.5" x14ac:dyDescent="0.25">
      <c r="A4" s="2823"/>
      <c r="B4" s="2824"/>
      <c r="C4" s="2824"/>
      <c r="D4" s="2824"/>
      <c r="E4" s="2824"/>
      <c r="F4" s="2824"/>
      <c r="G4" s="626"/>
      <c r="H4" s="58"/>
      <c r="I4" s="58"/>
      <c r="J4" s="58"/>
    </row>
    <row r="5" spans="1:10" ht="39.75" customHeight="1" x14ac:dyDescent="0.25">
      <c r="A5" s="2825" t="s">
        <v>298</v>
      </c>
      <c r="B5" s="2826"/>
      <c r="C5" s="2826"/>
      <c r="D5" s="2827"/>
      <c r="E5" s="2" t="s">
        <v>76</v>
      </c>
      <c r="F5" s="2" t="s">
        <v>10</v>
      </c>
      <c r="G5" s="44" t="s">
        <v>11</v>
      </c>
      <c r="H5" s="44" t="s">
        <v>382</v>
      </c>
      <c r="I5" s="1023" t="s">
        <v>2309</v>
      </c>
      <c r="J5" s="1189" t="s">
        <v>2479</v>
      </c>
    </row>
    <row r="6" spans="1:10" ht="36" customHeight="1" x14ac:dyDescent="0.25">
      <c r="A6" s="2828" t="s">
        <v>299</v>
      </c>
      <c r="B6" s="2829"/>
      <c r="C6" s="2829"/>
      <c r="D6" s="2830"/>
      <c r="E6" s="396">
        <v>59.2</v>
      </c>
      <c r="F6" s="396">
        <v>63.7</v>
      </c>
      <c r="G6" s="396">
        <v>63.6</v>
      </c>
      <c r="H6" s="396">
        <v>65.8</v>
      </c>
      <c r="I6" s="1801">
        <v>64.8</v>
      </c>
      <c r="J6" s="1451">
        <v>62.729507776200784</v>
      </c>
    </row>
    <row r="7" spans="1:10" ht="36" customHeight="1" x14ac:dyDescent="0.25">
      <c r="A7" s="2831" t="s">
        <v>300</v>
      </c>
      <c r="B7" s="2832"/>
      <c r="C7" s="2832"/>
      <c r="D7" s="2833"/>
      <c r="E7" s="396">
        <v>21.888884678963674</v>
      </c>
      <c r="F7" s="396">
        <v>21.819590360466893</v>
      </c>
      <c r="G7" s="396">
        <v>19.54030104518327</v>
      </c>
      <c r="H7" s="396">
        <v>19.865812055492729</v>
      </c>
      <c r="I7" s="1801">
        <v>18.11408888358455</v>
      </c>
      <c r="J7" s="1451">
        <v>19.23</v>
      </c>
    </row>
    <row r="8" spans="1:10" ht="36" customHeight="1" x14ac:dyDescent="0.25">
      <c r="A8" s="2828" t="s">
        <v>301</v>
      </c>
      <c r="B8" s="2829"/>
      <c r="C8" s="2829"/>
      <c r="D8" s="2830"/>
      <c r="E8" s="397">
        <f t="shared" ref="E8:J8" si="0">+E7/E6</f>
        <v>0.36974467363114311</v>
      </c>
      <c r="F8" s="397">
        <f t="shared" si="0"/>
        <v>0.34253674035269849</v>
      </c>
      <c r="G8" s="397">
        <f t="shared" si="0"/>
        <v>0.30723743781734703</v>
      </c>
      <c r="H8" s="397">
        <f t="shared" si="0"/>
        <v>0.3019120373175187</v>
      </c>
      <c r="I8" s="1802">
        <f t="shared" si="0"/>
        <v>0.27953840869729246</v>
      </c>
      <c r="J8" s="1803">
        <f t="shared" si="0"/>
        <v>0.30655429448939103</v>
      </c>
    </row>
    <row r="9" spans="1:10" ht="36" customHeight="1" x14ac:dyDescent="0.25">
      <c r="A9" s="627" t="s">
        <v>2288</v>
      </c>
      <c r="B9" s="1215"/>
      <c r="C9" s="58"/>
      <c r="D9" s="58"/>
      <c r="E9" s="58"/>
      <c r="F9" s="58"/>
      <c r="G9" s="58"/>
    </row>
    <row r="10" spans="1:10" x14ac:dyDescent="0.25">
      <c r="A10" s="510"/>
    </row>
    <row r="11" spans="1:10" ht="30.75" customHeight="1" x14ac:dyDescent="0.25">
      <c r="A11" s="2834" t="s">
        <v>2535</v>
      </c>
      <c r="B11" s="2835"/>
      <c r="C11" s="2835"/>
      <c r="D11" s="2835"/>
      <c r="E11" s="2835"/>
      <c r="F11" s="2835"/>
      <c r="G11" s="2835"/>
      <c r="H11" s="2835"/>
      <c r="I11" s="2835"/>
      <c r="J11" s="2835"/>
    </row>
    <row r="12" spans="1:10" ht="28.5" customHeight="1" x14ac:dyDescent="0.25">
      <c r="A12" s="2836" t="s">
        <v>302</v>
      </c>
      <c r="B12" s="2837"/>
      <c r="C12" s="2837"/>
      <c r="D12" s="2837"/>
      <c r="E12" s="2837"/>
      <c r="F12" s="2838"/>
      <c r="G12" s="2787" t="s">
        <v>303</v>
      </c>
      <c r="H12" s="2788"/>
      <c r="I12" s="31" t="s">
        <v>117</v>
      </c>
      <c r="J12" s="1121"/>
    </row>
    <row r="13" spans="1:10" ht="28.5" customHeight="1" x14ac:dyDescent="0.25">
      <c r="A13" s="2839" t="s">
        <v>304</v>
      </c>
      <c r="B13" s="2840"/>
      <c r="C13" s="2840"/>
      <c r="D13" s="2840"/>
      <c r="E13" s="2840"/>
      <c r="F13" s="2841"/>
      <c r="G13" s="2805">
        <v>91.8</v>
      </c>
      <c r="H13" s="2806"/>
      <c r="I13" s="1201" t="s">
        <v>305</v>
      </c>
      <c r="J13" s="1199"/>
    </row>
    <row r="14" spans="1:10" ht="28.5" customHeight="1" x14ac:dyDescent="0.25">
      <c r="A14" s="2815" t="s">
        <v>306</v>
      </c>
      <c r="B14" s="2817"/>
      <c r="C14" s="2817"/>
      <c r="D14" s="2817"/>
      <c r="E14" s="2817"/>
      <c r="F14" s="2818"/>
      <c r="G14" s="2805">
        <v>12.1</v>
      </c>
      <c r="H14" s="2806"/>
      <c r="I14" s="1201" t="s">
        <v>305</v>
      </c>
      <c r="J14" s="1199"/>
    </row>
    <row r="15" spans="1:10" ht="28.5" customHeight="1" x14ac:dyDescent="0.25">
      <c r="A15" s="2815" t="s">
        <v>2660</v>
      </c>
      <c r="B15" s="2816"/>
      <c r="C15" s="2817"/>
      <c r="D15" s="2817"/>
      <c r="E15" s="2817"/>
      <c r="F15" s="2818"/>
      <c r="G15" s="2819">
        <v>32760</v>
      </c>
      <c r="H15" s="2820"/>
      <c r="I15" s="1722" t="s">
        <v>307</v>
      </c>
      <c r="J15" s="1199"/>
    </row>
    <row r="16" spans="1:10" ht="27" customHeight="1" x14ac:dyDescent="0.25">
      <c r="A16" s="2815" t="s">
        <v>308</v>
      </c>
      <c r="B16" s="2816"/>
      <c r="C16" s="2817"/>
      <c r="D16" s="2817"/>
      <c r="E16" s="2817"/>
      <c r="F16" s="2818"/>
      <c r="G16" s="2805">
        <v>12254</v>
      </c>
      <c r="H16" s="2806"/>
      <c r="I16" s="1722" t="s">
        <v>307</v>
      </c>
      <c r="J16" s="1450"/>
    </row>
    <row r="17" spans="1:10" ht="28.5" customHeight="1" x14ac:dyDescent="0.25">
      <c r="A17" s="2815" t="s">
        <v>309</v>
      </c>
      <c r="B17" s="2817"/>
      <c r="C17" s="2817"/>
      <c r="D17" s="2817"/>
      <c r="E17" s="2817"/>
      <c r="F17" s="2818"/>
      <c r="G17" s="2805">
        <v>21177</v>
      </c>
      <c r="H17" s="2806"/>
      <c r="I17" s="1201" t="s">
        <v>307</v>
      </c>
      <c r="J17" s="1199"/>
    </row>
    <row r="18" spans="1:10" ht="28.5" customHeight="1" x14ac:dyDescent="0.25">
      <c r="A18" s="2797" t="s">
        <v>310</v>
      </c>
      <c r="B18" s="2798"/>
      <c r="C18" s="2798"/>
      <c r="D18" s="2798"/>
      <c r="E18" s="2798"/>
      <c r="F18" s="2799"/>
      <c r="G18" s="2800" t="s">
        <v>2346</v>
      </c>
      <c r="H18" s="2801"/>
      <c r="I18" s="1201" t="s">
        <v>311</v>
      </c>
      <c r="J18" s="1200"/>
    </row>
    <row r="19" spans="1:10" ht="28.5" customHeight="1" x14ac:dyDescent="0.25">
      <c r="A19" s="2802" t="s">
        <v>312</v>
      </c>
      <c r="B19" s="2803"/>
      <c r="C19" s="2803"/>
      <c r="D19" s="2803"/>
      <c r="E19" s="2803"/>
      <c r="F19" s="2804"/>
      <c r="G19" s="2805">
        <v>11578</v>
      </c>
      <c r="H19" s="2806"/>
      <c r="I19" s="1201" t="s">
        <v>307</v>
      </c>
      <c r="J19" s="1199"/>
    </row>
    <row r="20" spans="1:10" ht="28.5" customHeight="1" x14ac:dyDescent="0.25">
      <c r="A20" s="2807" t="s">
        <v>313</v>
      </c>
      <c r="B20" s="2808"/>
      <c r="C20" s="2809" t="s">
        <v>2661</v>
      </c>
      <c r="D20" s="2810"/>
      <c r="E20" s="2810"/>
      <c r="F20" s="2808"/>
      <c r="G20" s="2805">
        <v>825.29700000000003</v>
      </c>
      <c r="H20" s="2806"/>
      <c r="I20" s="1201" t="s">
        <v>101</v>
      </c>
      <c r="J20" s="1199"/>
    </row>
    <row r="21" spans="1:10" x14ac:dyDescent="0.25">
      <c r="A21" s="2811" t="s">
        <v>314</v>
      </c>
      <c r="B21" s="2812"/>
      <c r="C21" s="2812"/>
      <c r="D21" s="2812"/>
      <c r="E21" s="2812"/>
      <c r="F21" s="2812"/>
    </row>
    <row r="22" spans="1:10" x14ac:dyDescent="0.25">
      <c r="A22" s="2813" t="s">
        <v>2662</v>
      </c>
      <c r="B22" s="2814"/>
      <c r="C22" s="2814"/>
      <c r="D22" s="2814"/>
      <c r="E22" s="1292"/>
      <c r="F22" s="1292"/>
    </row>
    <row r="23" spans="1:10" x14ac:dyDescent="0.25">
      <c r="A23" s="510"/>
    </row>
    <row r="24" spans="1:10" x14ac:dyDescent="0.25">
      <c r="A24" s="540"/>
      <c r="B24" s="112"/>
      <c r="C24" s="112"/>
      <c r="D24" s="112"/>
      <c r="E24" s="112"/>
      <c r="F24" s="112"/>
      <c r="G24" s="112"/>
      <c r="H24" s="112"/>
      <c r="I24" s="112"/>
      <c r="J24" s="112"/>
    </row>
    <row r="25" spans="1:10" ht="20.25" customHeight="1" x14ac:dyDescent="0.25">
      <c r="A25" s="2792" t="s">
        <v>2562</v>
      </c>
      <c r="B25" s="2792"/>
      <c r="C25" s="2792"/>
      <c r="D25" s="2792"/>
      <c r="E25" s="2792"/>
      <c r="F25" s="2792"/>
      <c r="G25" s="2792"/>
      <c r="H25" s="2792"/>
      <c r="I25" s="2792"/>
      <c r="J25" s="2792"/>
    </row>
    <row r="26" spans="1:10" ht="20.25" customHeight="1" x14ac:dyDescent="0.25">
      <c r="A26" s="1153"/>
      <c r="B26" s="1121"/>
      <c r="C26" s="1121"/>
      <c r="D26" s="1121"/>
      <c r="E26" s="1121"/>
      <c r="F26" s="1121"/>
      <c r="G26" s="1121"/>
      <c r="H26" s="1121"/>
      <c r="I26" s="1121"/>
      <c r="J26" s="1121"/>
    </row>
    <row r="27" spans="1:10" ht="20.25" customHeight="1" x14ac:dyDescent="0.25">
      <c r="A27" s="2792" t="s">
        <v>315</v>
      </c>
      <c r="B27" s="2792"/>
      <c r="C27" s="2792"/>
      <c r="D27" s="2792" t="s">
        <v>316</v>
      </c>
      <c r="E27" s="2792"/>
      <c r="F27" s="2792"/>
      <c r="G27" s="2792"/>
      <c r="H27" s="2792"/>
      <c r="I27" s="2792"/>
      <c r="J27" s="2792"/>
    </row>
    <row r="28" spans="1:10" ht="56.25" customHeight="1" x14ac:dyDescent="0.25">
      <c r="A28" s="2794" t="s">
        <v>317</v>
      </c>
      <c r="B28" s="2794"/>
      <c r="C28" s="2794"/>
      <c r="D28" s="2795" t="s">
        <v>2783</v>
      </c>
      <c r="E28" s="2795"/>
      <c r="F28" s="2795"/>
      <c r="G28" s="2795"/>
      <c r="H28" s="2795"/>
      <c r="I28" s="2795"/>
      <c r="J28" s="2795"/>
    </row>
    <row r="29" spans="1:10" ht="54.75" customHeight="1" x14ac:dyDescent="0.25">
      <c r="A29" s="2794"/>
      <c r="B29" s="2794"/>
      <c r="C29" s="2794"/>
      <c r="D29" s="2796" t="s">
        <v>318</v>
      </c>
      <c r="E29" s="2796"/>
      <c r="F29" s="2796"/>
      <c r="G29" s="2796"/>
      <c r="H29" s="2796"/>
      <c r="I29" s="2796"/>
      <c r="J29" s="2796"/>
    </row>
    <row r="30" spans="1:10" ht="62.25" customHeight="1" x14ac:dyDescent="0.25">
      <c r="A30" s="2794"/>
      <c r="B30" s="2794"/>
      <c r="C30" s="2794"/>
      <c r="D30" s="2795" t="s">
        <v>319</v>
      </c>
      <c r="E30" s="2795"/>
      <c r="F30" s="2795"/>
      <c r="G30" s="2795"/>
      <c r="H30" s="2795"/>
      <c r="I30" s="2795"/>
      <c r="J30" s="2795"/>
    </row>
    <row r="31" spans="1:10" ht="15" customHeight="1" x14ac:dyDescent="0.25">
      <c r="A31" s="2792" t="s">
        <v>320</v>
      </c>
      <c r="B31" s="2792"/>
      <c r="C31" s="2792"/>
      <c r="D31" s="2792"/>
      <c r="E31" s="2792"/>
      <c r="F31" s="2792"/>
      <c r="G31" s="2792"/>
      <c r="H31" s="2792"/>
      <c r="I31" s="2792"/>
      <c r="J31" s="2792"/>
    </row>
    <row r="32" spans="1:10" ht="33" x14ac:dyDescent="0.25">
      <c r="A32" s="2782" t="s">
        <v>321</v>
      </c>
      <c r="B32" s="2783"/>
      <c r="C32" s="2784"/>
      <c r="D32" s="2793" t="s">
        <v>322</v>
      </c>
      <c r="E32" s="2784"/>
      <c r="F32" s="1270" t="s">
        <v>323</v>
      </c>
      <c r="G32" s="1270" t="s">
        <v>324</v>
      </c>
      <c r="H32" s="1270" t="s">
        <v>325</v>
      </c>
      <c r="I32" s="1270" t="s">
        <v>326</v>
      </c>
      <c r="J32" s="1121"/>
    </row>
    <row r="33" spans="1:11" ht="16.5" customHeight="1" x14ac:dyDescent="0.25">
      <c r="A33" s="2776" t="s">
        <v>327</v>
      </c>
      <c r="B33" s="2777"/>
      <c r="C33" s="2778"/>
      <c r="D33" s="2785" t="s">
        <v>328</v>
      </c>
      <c r="E33" s="2786"/>
      <c r="F33" s="1271">
        <v>28</v>
      </c>
      <c r="G33" s="1271">
        <v>29</v>
      </c>
      <c r="H33" s="1271">
        <v>16</v>
      </c>
      <c r="I33" s="1271">
        <v>17</v>
      </c>
      <c r="J33" s="1154"/>
    </row>
    <row r="34" spans="1:11" x14ac:dyDescent="0.25">
      <c r="A34" s="2779"/>
      <c r="B34" s="2780"/>
      <c r="C34" s="2781"/>
      <c r="D34" s="2785" t="s">
        <v>329</v>
      </c>
      <c r="E34" s="2786"/>
      <c r="F34" s="1074">
        <v>10</v>
      </c>
      <c r="G34" s="1074">
        <v>13</v>
      </c>
      <c r="H34" s="1074">
        <v>6</v>
      </c>
      <c r="I34" s="1074">
        <v>8</v>
      </c>
      <c r="J34" s="1154"/>
    </row>
    <row r="35" spans="1:11" x14ac:dyDescent="0.25">
      <c r="A35" s="2779"/>
      <c r="B35" s="2780"/>
      <c r="C35" s="2781"/>
      <c r="D35" s="2785" t="s">
        <v>330</v>
      </c>
      <c r="E35" s="2786"/>
      <c r="F35" s="1074">
        <v>9</v>
      </c>
      <c r="G35" s="1074">
        <v>12</v>
      </c>
      <c r="H35" s="1074">
        <v>1</v>
      </c>
      <c r="I35" s="1074">
        <v>3</v>
      </c>
      <c r="J35" s="1154"/>
    </row>
    <row r="36" spans="1:11" x14ac:dyDescent="0.25">
      <c r="A36" s="2779"/>
      <c r="B36" s="2780"/>
      <c r="C36" s="2781"/>
      <c r="D36" s="2785" t="s">
        <v>331</v>
      </c>
      <c r="E36" s="2786"/>
      <c r="F36" s="1074">
        <v>3</v>
      </c>
      <c r="G36" s="1074">
        <v>3</v>
      </c>
      <c r="H36" s="1074">
        <v>2</v>
      </c>
      <c r="I36" s="1074">
        <v>2</v>
      </c>
      <c r="J36" s="1154"/>
    </row>
    <row r="37" spans="1:11" ht="16.5" x14ac:dyDescent="0.25">
      <c r="A37" s="2782"/>
      <c r="B37" s="2783"/>
      <c r="C37" s="2784"/>
      <c r="D37" s="2787" t="s">
        <v>133</v>
      </c>
      <c r="E37" s="2788"/>
      <c r="F37" s="31">
        <f>SUM(F33:F36)</f>
        <v>50</v>
      </c>
      <c r="G37" s="31">
        <f>SUM(G33:G36)</f>
        <v>57</v>
      </c>
      <c r="H37" s="31">
        <f>SUM(H33:H36)</f>
        <v>25</v>
      </c>
      <c r="I37" s="31">
        <f>SUM(I33:I36)</f>
        <v>30</v>
      </c>
      <c r="J37" s="1121"/>
    </row>
    <row r="38" spans="1:11" ht="16.5" customHeight="1" x14ac:dyDescent="0.25">
      <c r="A38" s="2776" t="s">
        <v>332</v>
      </c>
      <c r="B38" s="2777"/>
      <c r="C38" s="2778"/>
      <c r="D38" s="2785" t="s">
        <v>333</v>
      </c>
      <c r="E38" s="2786"/>
      <c r="F38" s="1074">
        <v>1</v>
      </c>
      <c r="G38" s="1074">
        <v>2</v>
      </c>
      <c r="H38" s="1074">
        <v>1</v>
      </c>
      <c r="I38" s="1074">
        <v>1</v>
      </c>
      <c r="J38" s="1154"/>
    </row>
    <row r="39" spans="1:11" x14ac:dyDescent="0.25">
      <c r="A39" s="2779"/>
      <c r="B39" s="2780"/>
      <c r="C39" s="2781"/>
      <c r="D39" s="2785" t="s">
        <v>331</v>
      </c>
      <c r="E39" s="2786"/>
      <c r="F39" s="1074">
        <v>5</v>
      </c>
      <c r="G39" s="1074">
        <v>6</v>
      </c>
      <c r="H39" s="1074">
        <v>0</v>
      </c>
      <c r="I39" s="1074">
        <v>3</v>
      </c>
      <c r="J39" s="1154"/>
    </row>
    <row r="40" spans="1:11" ht="16.5" x14ac:dyDescent="0.25">
      <c r="A40" s="2782"/>
      <c r="B40" s="2783"/>
      <c r="C40" s="2784"/>
      <c r="D40" s="2787" t="s">
        <v>133</v>
      </c>
      <c r="E40" s="2788"/>
      <c r="F40" s="31">
        <v>6</v>
      </c>
      <c r="G40" s="31">
        <v>8</v>
      </c>
      <c r="H40" s="31">
        <v>1</v>
      </c>
      <c r="I40" s="31">
        <v>4</v>
      </c>
      <c r="J40" s="1121"/>
    </row>
    <row r="41" spans="1:11" ht="16.5" x14ac:dyDescent="0.3">
      <c r="A41" s="2789" t="s">
        <v>334</v>
      </c>
      <c r="B41" s="2790"/>
      <c r="C41" s="2790"/>
      <c r="D41" s="2790"/>
      <c r="E41" s="2791"/>
      <c r="F41" s="1071">
        <f>+F37+F40</f>
        <v>56</v>
      </c>
      <c r="G41" s="1071">
        <f>+G37+G40</f>
        <v>65</v>
      </c>
      <c r="H41" s="1071">
        <f>+H37+H40</f>
        <v>26</v>
      </c>
      <c r="I41" s="1071">
        <f>+I37+I40</f>
        <v>34</v>
      </c>
      <c r="J41" s="1272"/>
    </row>
    <row r="42" spans="1:11" x14ac:dyDescent="0.25">
      <c r="A42" s="540" t="s">
        <v>335</v>
      </c>
      <c r="B42" s="241"/>
      <c r="C42" s="241"/>
      <c r="D42" s="241"/>
      <c r="E42" s="241"/>
      <c r="F42" s="241"/>
      <c r="G42" s="112"/>
      <c r="H42" s="112"/>
      <c r="I42" s="112"/>
      <c r="J42" s="112"/>
    </row>
    <row r="43" spans="1:11" x14ac:dyDescent="0.25">
      <c r="A43" s="990"/>
      <c r="B43" s="880"/>
      <c r="C43" s="880"/>
      <c r="D43" s="880"/>
      <c r="E43" s="880"/>
      <c r="F43" s="880"/>
      <c r="G43" s="880"/>
      <c r="H43" s="880"/>
      <c r="I43" s="880"/>
      <c r="J43" s="880"/>
    </row>
    <row r="44" spans="1:11" ht="20.25" x14ac:dyDescent="0.25">
      <c r="A44" s="2772" t="s">
        <v>2588</v>
      </c>
      <c r="B44" s="2772"/>
      <c r="C44" s="2772"/>
      <c r="D44" s="2772"/>
      <c r="E44" s="2772"/>
      <c r="F44" s="2772"/>
      <c r="G44" s="2772"/>
      <c r="H44" s="2772"/>
      <c r="I44" s="2772"/>
      <c r="J44" s="2146"/>
    </row>
    <row r="45" spans="1:11" ht="17.25" customHeight="1" x14ac:dyDescent="0.25">
      <c r="A45" s="2773" t="s">
        <v>2580</v>
      </c>
      <c r="B45" s="2773"/>
      <c r="C45" s="2773"/>
      <c r="D45" s="2149"/>
      <c r="E45" s="2149" t="s">
        <v>2578</v>
      </c>
      <c r="F45" s="2149"/>
      <c r="G45" s="2773" t="s">
        <v>2579</v>
      </c>
      <c r="H45" s="2773"/>
      <c r="I45" s="2773"/>
      <c r="J45" s="2147"/>
      <c r="K45" s="58"/>
    </row>
    <row r="46" spans="1:11" ht="16.5" customHeight="1" x14ac:dyDescent="0.25">
      <c r="A46" s="2773"/>
      <c r="B46" s="2773"/>
      <c r="C46" s="2773"/>
      <c r="D46" s="1578" t="s">
        <v>11</v>
      </c>
      <c r="E46" s="1578" t="s">
        <v>382</v>
      </c>
      <c r="F46" s="1578" t="s">
        <v>2309</v>
      </c>
      <c r="G46" s="1577" t="s">
        <v>11</v>
      </c>
      <c r="H46" s="1577" t="s">
        <v>382</v>
      </c>
      <c r="I46" s="1577" t="s">
        <v>2309</v>
      </c>
      <c r="J46" s="2148"/>
      <c r="K46" s="58"/>
    </row>
    <row r="47" spans="1:11" ht="24" customHeight="1" x14ac:dyDescent="0.25">
      <c r="A47" s="2774" t="s">
        <v>2565</v>
      </c>
      <c r="B47" s="2774"/>
      <c r="C47" s="2774"/>
      <c r="D47" s="1579">
        <v>3291</v>
      </c>
      <c r="E47" s="1579">
        <v>3295</v>
      </c>
      <c r="F47" s="1580">
        <v>3183</v>
      </c>
      <c r="G47" s="1571">
        <v>649560</v>
      </c>
      <c r="H47" s="1571">
        <v>650627</v>
      </c>
      <c r="I47" s="1572">
        <v>643402</v>
      </c>
      <c r="J47" s="2143"/>
      <c r="K47" s="58"/>
    </row>
    <row r="48" spans="1:11" x14ac:dyDescent="0.25">
      <c r="A48" s="2774" t="s">
        <v>2566</v>
      </c>
      <c r="B48" s="2774"/>
      <c r="C48" s="2774"/>
      <c r="D48" s="1583">
        <v>201</v>
      </c>
      <c r="E48" s="1583">
        <f>14.2*7.33</f>
        <v>104.086</v>
      </c>
      <c r="F48" s="1584">
        <v>117.28</v>
      </c>
      <c r="G48" s="1575">
        <v>40626</v>
      </c>
      <c r="H48" s="1575">
        <f>35.6*1000</f>
        <v>35600</v>
      </c>
      <c r="I48" s="1576">
        <v>18925</v>
      </c>
      <c r="J48" s="2144"/>
      <c r="K48" s="58"/>
    </row>
    <row r="49" spans="1:11" x14ac:dyDescent="0.25">
      <c r="A49" s="2774" t="s">
        <v>2567</v>
      </c>
      <c r="B49" s="2774"/>
      <c r="C49" s="2774"/>
      <c r="D49" s="1581">
        <v>17</v>
      </c>
      <c r="E49" s="1581"/>
      <c r="F49" s="1582">
        <v>11</v>
      </c>
      <c r="G49" s="1573"/>
      <c r="H49" s="1573"/>
      <c r="I49" s="1576">
        <v>1862</v>
      </c>
      <c r="J49" s="2144"/>
      <c r="K49" s="58"/>
    </row>
    <row r="50" spans="1:11" ht="15.75" customHeight="1" x14ac:dyDescent="0.25">
      <c r="A50" s="2775" t="s">
        <v>2568</v>
      </c>
      <c r="B50" s="2775"/>
      <c r="C50" s="2775"/>
      <c r="D50" s="1579">
        <f t="shared" ref="D50:I50" si="1">D48+D49</f>
        <v>218</v>
      </c>
      <c r="E50" s="1579">
        <f t="shared" si="1"/>
        <v>104.086</v>
      </c>
      <c r="F50" s="1580">
        <f t="shared" si="1"/>
        <v>128.28</v>
      </c>
      <c r="G50" s="1571">
        <f t="shared" si="1"/>
        <v>40626</v>
      </c>
      <c r="H50" s="1571">
        <f t="shared" si="1"/>
        <v>35600</v>
      </c>
      <c r="I50" s="1572">
        <f t="shared" si="1"/>
        <v>20787</v>
      </c>
      <c r="J50" s="2143"/>
      <c r="K50" s="58"/>
    </row>
    <row r="51" spans="1:11" x14ac:dyDescent="0.25">
      <c r="A51" s="2774" t="s">
        <v>2569</v>
      </c>
      <c r="B51" s="2774"/>
      <c r="C51" s="2774"/>
      <c r="D51" s="1581"/>
      <c r="E51" s="1581"/>
      <c r="F51" s="1582"/>
      <c r="G51" s="1573"/>
      <c r="H51" s="1573"/>
      <c r="I51" s="1574"/>
      <c r="J51" s="2145"/>
      <c r="K51" s="58"/>
    </row>
    <row r="52" spans="1:11" x14ac:dyDescent="0.25">
      <c r="A52" s="2774" t="s">
        <v>2570</v>
      </c>
      <c r="B52" s="2774"/>
      <c r="C52" s="2774"/>
      <c r="D52" s="1581">
        <v>214</v>
      </c>
      <c r="E52" s="1585">
        <f>29.36*7.33</f>
        <v>215.2088</v>
      </c>
      <c r="F52" s="1582">
        <v>210</v>
      </c>
      <c r="G52" s="1575">
        <v>34450</v>
      </c>
      <c r="H52" s="1575">
        <f>36.438*1000</f>
        <v>36438</v>
      </c>
      <c r="I52" s="1576">
        <v>36110</v>
      </c>
      <c r="J52" s="2144"/>
      <c r="K52" s="58"/>
    </row>
    <row r="53" spans="1:11" x14ac:dyDescent="0.25">
      <c r="A53" s="2774" t="s">
        <v>2571</v>
      </c>
      <c r="B53" s="2774"/>
      <c r="C53" s="2774"/>
      <c r="D53" s="1583"/>
      <c r="E53" s="1583"/>
      <c r="F53" s="1584"/>
      <c r="G53" s="1575"/>
      <c r="H53" s="1575"/>
      <c r="I53" s="1576"/>
      <c r="J53" s="2144"/>
      <c r="K53" s="58"/>
    </row>
    <row r="54" spans="1:11" ht="15.75" customHeight="1" x14ac:dyDescent="0.25">
      <c r="A54" s="2774" t="s">
        <v>2572</v>
      </c>
      <c r="B54" s="2774"/>
      <c r="C54" s="2774"/>
      <c r="D54" s="1586">
        <v>0</v>
      </c>
      <c r="E54" s="1586">
        <v>0.45</v>
      </c>
      <c r="F54" s="1587">
        <v>0</v>
      </c>
      <c r="G54" s="1575">
        <v>5109</v>
      </c>
      <c r="H54" s="1575">
        <v>6387</v>
      </c>
      <c r="I54" s="1576">
        <v>32693</v>
      </c>
      <c r="J54" s="2144"/>
      <c r="K54" s="58"/>
    </row>
    <row r="55" spans="1:11" ht="15.75" customHeight="1" x14ac:dyDescent="0.25">
      <c r="A55" s="2775" t="s">
        <v>2573</v>
      </c>
      <c r="B55" s="2775"/>
      <c r="C55" s="2775"/>
      <c r="D55" s="1579">
        <f t="shared" ref="D55:I55" si="2">D52+D54</f>
        <v>214</v>
      </c>
      <c r="E55" s="1579">
        <f t="shared" si="2"/>
        <v>215.65879999999999</v>
      </c>
      <c r="F55" s="1580">
        <f t="shared" si="2"/>
        <v>210</v>
      </c>
      <c r="G55" s="1571">
        <f t="shared" si="2"/>
        <v>39559</v>
      </c>
      <c r="H55" s="1571">
        <f t="shared" si="2"/>
        <v>42825</v>
      </c>
      <c r="I55" s="1572">
        <f t="shared" si="2"/>
        <v>68803</v>
      </c>
      <c r="J55" s="2143"/>
      <c r="K55" s="58"/>
    </row>
    <row r="56" spans="1:11" ht="15.75" customHeight="1" x14ac:dyDescent="0.25">
      <c r="A56" s="2775" t="s">
        <v>2574</v>
      </c>
      <c r="B56" s="2775"/>
      <c r="C56" s="2775"/>
      <c r="D56" s="1579">
        <f>D47+D50-D55</f>
        <v>3295</v>
      </c>
      <c r="E56" s="1579">
        <f>E47+E50-E55</f>
        <v>3183.4271999999996</v>
      </c>
      <c r="F56" s="1580">
        <v>3100.59</v>
      </c>
      <c r="G56" s="1571">
        <f>G47+G50-G55</f>
        <v>650627</v>
      </c>
      <c r="H56" s="1571">
        <f>H47+H50-H55</f>
        <v>643402</v>
      </c>
      <c r="I56" s="1572">
        <v>595386</v>
      </c>
      <c r="J56" s="2143"/>
      <c r="K56" s="58"/>
    </row>
    <row r="58" spans="1:11" x14ac:dyDescent="0.25">
      <c r="A58" s="65" t="s">
        <v>2575</v>
      </c>
      <c r="C58" s="65" t="s">
        <v>2576</v>
      </c>
    </row>
    <row r="59" spans="1:11" ht="1.5" customHeight="1" thickBot="1" x14ac:dyDescent="0.3">
      <c r="A59" s="65" t="s">
        <v>2576</v>
      </c>
    </row>
    <row r="60" spans="1:11" ht="16.5" thickBot="1" x14ac:dyDescent="0.3">
      <c r="A60" s="1570" t="s">
        <v>2577</v>
      </c>
    </row>
  </sheetData>
  <mergeCells count="62">
    <mergeCell ref="A14:F14"/>
    <mergeCell ref="G14:H14"/>
    <mergeCell ref="A3:J3"/>
    <mergeCell ref="A4:F4"/>
    <mergeCell ref="A5:D5"/>
    <mergeCell ref="A6:D6"/>
    <mergeCell ref="A7:D7"/>
    <mergeCell ref="A8:D8"/>
    <mergeCell ref="A11:J11"/>
    <mergeCell ref="A12:F12"/>
    <mergeCell ref="G12:H12"/>
    <mergeCell ref="A13:F13"/>
    <mergeCell ref="G13:H13"/>
    <mergeCell ref="A15:F15"/>
    <mergeCell ref="G15:H15"/>
    <mergeCell ref="A16:F16"/>
    <mergeCell ref="G16:H16"/>
    <mergeCell ref="A17:F17"/>
    <mergeCell ref="G17:H17"/>
    <mergeCell ref="A28:C30"/>
    <mergeCell ref="D28:J28"/>
    <mergeCell ref="D29:J29"/>
    <mergeCell ref="D30:J30"/>
    <mergeCell ref="A18:F18"/>
    <mergeCell ref="G18:H18"/>
    <mergeCell ref="A19:F19"/>
    <mergeCell ref="G19:H19"/>
    <mergeCell ref="A20:B20"/>
    <mergeCell ref="C20:F20"/>
    <mergeCell ref="G20:H20"/>
    <mergeCell ref="A21:F21"/>
    <mergeCell ref="A22:D22"/>
    <mergeCell ref="A25:J25"/>
    <mergeCell ref="A27:C27"/>
    <mergeCell ref="D27:J27"/>
    <mergeCell ref="A31:J31"/>
    <mergeCell ref="A32:C32"/>
    <mergeCell ref="D32:E32"/>
    <mergeCell ref="A33:C37"/>
    <mergeCell ref="D33:E33"/>
    <mergeCell ref="D34:E34"/>
    <mergeCell ref="D35:E35"/>
    <mergeCell ref="D36:E36"/>
    <mergeCell ref="D37:E37"/>
    <mergeCell ref="A38:C40"/>
    <mergeCell ref="D38:E38"/>
    <mergeCell ref="D39:E39"/>
    <mergeCell ref="D40:E40"/>
    <mergeCell ref="A41:E41"/>
    <mergeCell ref="A55:C55"/>
    <mergeCell ref="A56:C56"/>
    <mergeCell ref="A49:C49"/>
    <mergeCell ref="A50:C50"/>
    <mergeCell ref="A51:C51"/>
    <mergeCell ref="A44:I44"/>
    <mergeCell ref="G45:I45"/>
    <mergeCell ref="A52:C52"/>
    <mergeCell ref="A53:C53"/>
    <mergeCell ref="A54:C54"/>
    <mergeCell ref="A45:C46"/>
    <mergeCell ref="A47:C47"/>
    <mergeCell ref="A48:C48"/>
  </mergeCells>
  <pageMargins left="0.70866141732283472" right="0.70866141732283472" top="0.74803149606299213" bottom="0.74803149606299213" header="0.31496062992125984" footer="0.31496062992125984"/>
  <pageSetup paperSize="9" scale="51" orientation="portrait"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CEFC28-1DFD-49C6-8D90-0C170D62AD8C}">
  <sheetPr codeName="Sheet18">
    <tabColor theme="0"/>
    <pageSetUpPr fitToPage="1"/>
  </sheetPr>
  <dimension ref="B3:G20"/>
  <sheetViews>
    <sheetView showGridLines="0" view="pageLayout" topLeftCell="A3" zoomScale="85" zoomScaleNormal="110" zoomScalePageLayoutView="85" workbookViewId="0">
      <selection activeCell="B81" sqref="B81"/>
    </sheetView>
  </sheetViews>
  <sheetFormatPr defaultColWidth="9.140625" defaultRowHeight="16.5" x14ac:dyDescent="0.3"/>
  <cols>
    <col min="1" max="1" width="3.85546875" style="1" customWidth="1"/>
    <col min="2" max="2" width="33.42578125" style="1" customWidth="1"/>
    <col min="3" max="3" width="15.42578125" style="1" customWidth="1"/>
    <col min="4" max="4" width="12.85546875" style="1" customWidth="1"/>
    <col min="5" max="5" width="12.5703125" style="1" customWidth="1"/>
    <col min="6" max="6" width="16.28515625" style="1" customWidth="1"/>
    <col min="7" max="7" width="21.5703125" style="1" customWidth="1"/>
    <col min="8" max="16384" width="9.140625" style="1"/>
  </cols>
  <sheetData>
    <row r="3" spans="2:7" ht="20.25" x14ac:dyDescent="0.3">
      <c r="B3" s="2848" t="s">
        <v>3021</v>
      </c>
      <c r="C3" s="2848"/>
      <c r="D3" s="2848"/>
      <c r="E3" s="2848"/>
      <c r="F3" s="2848"/>
      <c r="G3" s="2848"/>
    </row>
    <row r="4" spans="2:7" ht="20.25" x14ac:dyDescent="0.3">
      <c r="B4" s="61" t="s">
        <v>315</v>
      </c>
      <c r="C4" s="2849" t="s">
        <v>316</v>
      </c>
      <c r="D4" s="2850"/>
      <c r="E4" s="2850"/>
      <c r="F4" s="2850"/>
      <c r="G4" s="2851"/>
    </row>
    <row r="5" spans="2:7" ht="112.5" customHeight="1" x14ac:dyDescent="0.3">
      <c r="B5" s="2852" t="s">
        <v>317</v>
      </c>
      <c r="C5" s="2853" t="s">
        <v>2783</v>
      </c>
      <c r="D5" s="2853"/>
      <c r="E5" s="2853"/>
      <c r="F5" s="2853"/>
      <c r="G5" s="2853"/>
    </row>
    <row r="6" spans="2:7" ht="66" customHeight="1" x14ac:dyDescent="0.3">
      <c r="B6" s="2852"/>
      <c r="C6" s="2854" t="s">
        <v>318</v>
      </c>
      <c r="D6" s="2854"/>
      <c r="E6" s="2854"/>
      <c r="F6" s="2854"/>
      <c r="G6" s="2854"/>
    </row>
    <row r="7" spans="2:7" ht="63" customHeight="1" x14ac:dyDescent="0.3">
      <c r="B7" s="2852"/>
      <c r="C7" s="2853" t="s">
        <v>319</v>
      </c>
      <c r="D7" s="2853"/>
      <c r="E7" s="2853"/>
      <c r="F7" s="2853"/>
      <c r="G7" s="2853"/>
    </row>
    <row r="8" spans="2:7" x14ac:dyDescent="0.3">
      <c r="B8" s="2842" t="s">
        <v>320</v>
      </c>
      <c r="C8" s="2842"/>
      <c r="D8" s="2842"/>
      <c r="E8" s="2842"/>
      <c r="F8" s="2842"/>
      <c r="G8" s="2842"/>
    </row>
    <row r="9" spans="2:7" ht="31.5" customHeight="1" x14ac:dyDescent="0.3">
      <c r="B9" s="52" t="s">
        <v>321</v>
      </c>
      <c r="C9" s="1796" t="s">
        <v>322</v>
      </c>
      <c r="D9" s="1797" t="s">
        <v>323</v>
      </c>
      <c r="E9" s="1797" t="s">
        <v>324</v>
      </c>
      <c r="F9" s="1797" t="s">
        <v>325</v>
      </c>
      <c r="G9" s="1797" t="s">
        <v>326</v>
      </c>
    </row>
    <row r="10" spans="2:7" ht="15" customHeight="1" x14ac:dyDescent="0.3">
      <c r="B10" s="2843" t="s">
        <v>327</v>
      </c>
      <c r="C10" s="1798" t="s">
        <v>328</v>
      </c>
      <c r="D10" s="1799">
        <v>28</v>
      </c>
      <c r="E10" s="1799">
        <v>29</v>
      </c>
      <c r="F10" s="1799">
        <v>16</v>
      </c>
      <c r="G10" s="1799">
        <v>17</v>
      </c>
    </row>
    <row r="11" spans="2:7" ht="15" customHeight="1" x14ac:dyDescent="0.3">
      <c r="B11" s="2843"/>
      <c r="C11" s="1798" t="s">
        <v>329</v>
      </c>
      <c r="D11" s="1799">
        <v>10</v>
      </c>
      <c r="E11" s="1799">
        <v>13</v>
      </c>
      <c r="F11" s="1799">
        <v>6</v>
      </c>
      <c r="G11" s="1799">
        <v>8</v>
      </c>
    </row>
    <row r="12" spans="2:7" x14ac:dyDescent="0.3">
      <c r="B12" s="2843"/>
      <c r="C12" s="1798" t="s">
        <v>330</v>
      </c>
      <c r="D12" s="1799">
        <v>9</v>
      </c>
      <c r="E12" s="1799">
        <v>12</v>
      </c>
      <c r="F12" s="1799">
        <v>1</v>
      </c>
      <c r="G12" s="1799">
        <v>3</v>
      </c>
    </row>
    <row r="13" spans="2:7" x14ac:dyDescent="0.3">
      <c r="B13" s="2843"/>
      <c r="C13" s="1798" t="s">
        <v>331</v>
      </c>
      <c r="D13" s="1799">
        <v>3</v>
      </c>
      <c r="E13" s="1799">
        <v>3</v>
      </c>
      <c r="F13" s="1799">
        <v>2</v>
      </c>
      <c r="G13" s="1799">
        <v>2</v>
      </c>
    </row>
    <row r="14" spans="2:7" x14ac:dyDescent="0.3">
      <c r="B14" s="2844"/>
      <c r="C14" s="1796" t="s">
        <v>133</v>
      </c>
      <c r="D14" s="1797">
        <f>SUM(D10:D13)</f>
        <v>50</v>
      </c>
      <c r="E14" s="1797">
        <f>SUM(E10:E13)</f>
        <v>57</v>
      </c>
      <c r="F14" s="1797">
        <f>SUM(F10:F13)</f>
        <v>25</v>
      </c>
      <c r="G14" s="1797">
        <f>SUM(G10:G13)</f>
        <v>30</v>
      </c>
    </row>
    <row r="15" spans="2:7" ht="15" customHeight="1" x14ac:dyDescent="0.3">
      <c r="B15" s="2845" t="s">
        <v>332</v>
      </c>
      <c r="C15" s="1798" t="s">
        <v>333</v>
      </c>
      <c r="D15" s="1799">
        <v>1</v>
      </c>
      <c r="E15" s="1799">
        <v>2</v>
      </c>
      <c r="F15" s="1799">
        <v>1</v>
      </c>
      <c r="G15" s="1799">
        <v>1</v>
      </c>
    </row>
    <row r="16" spans="2:7" x14ac:dyDescent="0.3">
      <c r="B16" s="2845"/>
      <c r="C16" s="1798" t="s">
        <v>331</v>
      </c>
      <c r="D16" s="1799">
        <v>5</v>
      </c>
      <c r="E16" s="1799">
        <v>6</v>
      </c>
      <c r="F16" s="1799">
        <v>0</v>
      </c>
      <c r="G16" s="1799">
        <v>3</v>
      </c>
    </row>
    <row r="17" spans="2:7" x14ac:dyDescent="0.3">
      <c r="B17" s="2845"/>
      <c r="C17" s="1796" t="s">
        <v>133</v>
      </c>
      <c r="D17" s="1797">
        <f>SUM(D15:D16)</f>
        <v>6</v>
      </c>
      <c r="E17" s="1797">
        <f>SUM(E15:E16)</f>
        <v>8</v>
      </c>
      <c r="F17" s="1797">
        <f>SUM(F15:F16)</f>
        <v>1</v>
      </c>
      <c r="G17" s="1797">
        <f>SUM(G15:G16)</f>
        <v>4</v>
      </c>
    </row>
    <row r="18" spans="2:7" x14ac:dyDescent="0.3">
      <c r="B18" s="2846" t="s">
        <v>334</v>
      </c>
      <c r="C18" s="2847"/>
      <c r="D18" s="64">
        <f>+D14+D17</f>
        <v>56</v>
      </c>
      <c r="E18" s="64">
        <f>+E14+E17</f>
        <v>65</v>
      </c>
      <c r="F18" s="64">
        <f>+F14+F17</f>
        <v>26</v>
      </c>
      <c r="G18" s="64">
        <f>+G14+G17</f>
        <v>34</v>
      </c>
    </row>
    <row r="19" spans="2:7" x14ac:dyDescent="0.3">
      <c r="B19" s="4" t="s">
        <v>335</v>
      </c>
    </row>
    <row r="20" spans="2:7" x14ac:dyDescent="0.3">
      <c r="B20" s="4"/>
    </row>
  </sheetData>
  <mergeCells count="10">
    <mergeCell ref="B8:G8"/>
    <mergeCell ref="B10:B14"/>
    <mergeCell ref="B15:B17"/>
    <mergeCell ref="B18:C18"/>
    <mergeCell ref="B3:G3"/>
    <mergeCell ref="C4:G4"/>
    <mergeCell ref="B5:B7"/>
    <mergeCell ref="C5:G5"/>
    <mergeCell ref="C6:G6"/>
    <mergeCell ref="C7:G7"/>
  </mergeCells>
  <pageMargins left="0.70866141732283472" right="0.70866141732283472" top="0.74803149606299213" bottom="0.74803149606299213" header="0.31496062992125984" footer="0.31496062992125984"/>
  <pageSetup paperSize="9" scale="75"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FBFD62-D273-440A-99B1-FCF9B450D1D9}">
  <sheetPr>
    <tabColor theme="0"/>
    <pageSetUpPr fitToPage="1"/>
  </sheetPr>
  <dimension ref="B1:B64"/>
  <sheetViews>
    <sheetView showGridLines="0" view="pageLayout" topLeftCell="A2" zoomScale="70" zoomScaleNormal="100" zoomScalePageLayoutView="70" workbookViewId="0">
      <selection activeCell="B81" sqref="B81"/>
    </sheetView>
  </sheetViews>
  <sheetFormatPr defaultColWidth="62.28515625" defaultRowHeight="16.5" x14ac:dyDescent="0.3"/>
  <cols>
    <col min="1" max="1" width="7.7109375" style="4" customWidth="1"/>
    <col min="2" max="2" width="127.42578125" style="4" customWidth="1"/>
    <col min="3" max="16384" width="62.28515625" style="4"/>
  </cols>
  <sheetData>
    <row r="1" spans="2:2" ht="17.25" thickBot="1" x14ac:dyDescent="0.35"/>
    <row r="2" spans="2:2" ht="24" thickBot="1" x14ac:dyDescent="0.4">
      <c r="B2" s="1559" t="s">
        <v>336</v>
      </c>
    </row>
    <row r="3" spans="2:2" ht="17.25" thickBot="1" x14ac:dyDescent="0.35">
      <c r="B3" s="1560" t="s">
        <v>109</v>
      </c>
    </row>
    <row r="4" spans="2:2" ht="17.25" thickTop="1" x14ac:dyDescent="0.3">
      <c r="B4" s="1853" t="s">
        <v>119</v>
      </c>
    </row>
    <row r="5" spans="2:2" x14ac:dyDescent="0.3">
      <c r="B5" s="1855" t="s">
        <v>337</v>
      </c>
    </row>
    <row r="6" spans="2:2" ht="47.25" x14ac:dyDescent="0.3">
      <c r="B6" s="2182" t="s">
        <v>3002</v>
      </c>
    </row>
    <row r="7" spans="2:2" ht="31.5" x14ac:dyDescent="0.3">
      <c r="B7" s="2182" t="s">
        <v>3003</v>
      </c>
    </row>
    <row r="8" spans="2:2" x14ac:dyDescent="0.3">
      <c r="B8" s="1854" t="s">
        <v>2838</v>
      </c>
    </row>
    <row r="9" spans="2:2" ht="47.25" x14ac:dyDescent="0.3">
      <c r="B9" s="2182" t="s">
        <v>2970</v>
      </c>
    </row>
    <row r="10" spans="2:2" x14ac:dyDescent="0.3">
      <c r="B10" s="1855" t="s">
        <v>338</v>
      </c>
    </row>
    <row r="11" spans="2:2" ht="31.5" x14ac:dyDescent="0.3">
      <c r="B11" s="2182" t="s">
        <v>2971</v>
      </c>
    </row>
    <row r="12" spans="2:2" x14ac:dyDescent="0.3">
      <c r="B12" s="1855" t="s">
        <v>339</v>
      </c>
    </row>
    <row r="13" spans="2:2" ht="38.25" customHeight="1" x14ac:dyDescent="0.3">
      <c r="B13" s="2182" t="s">
        <v>2972</v>
      </c>
    </row>
    <row r="14" spans="2:2" ht="31.5" x14ac:dyDescent="0.3">
      <c r="B14" s="2182" t="s">
        <v>2973</v>
      </c>
    </row>
    <row r="15" spans="2:2" ht="16.5" customHeight="1" x14ac:dyDescent="0.3">
      <c r="B15" s="1855" t="s">
        <v>2839</v>
      </c>
    </row>
    <row r="16" spans="2:2" ht="54" customHeight="1" x14ac:dyDescent="0.3">
      <c r="B16" s="2293" t="s">
        <v>3004</v>
      </c>
    </row>
    <row r="17" spans="2:2" ht="42.75" customHeight="1" thickBot="1" x14ac:dyDescent="0.35">
      <c r="B17" s="2294" t="s">
        <v>2974</v>
      </c>
    </row>
    <row r="18" spans="2:2" x14ac:dyDescent="0.3">
      <c r="B18" s="1213"/>
    </row>
    <row r="19" spans="2:2" x14ac:dyDescent="0.3">
      <c r="B19" s="1213"/>
    </row>
    <row r="20" spans="2:2" x14ac:dyDescent="0.3">
      <c r="B20" s="1213"/>
    </row>
    <row r="21" spans="2:2" x14ac:dyDescent="0.3">
      <c r="B21" s="1213"/>
    </row>
    <row r="22" spans="2:2" x14ac:dyDescent="0.3">
      <c r="B22" s="1213"/>
    </row>
    <row r="64" ht="1.5" customHeight="1" x14ac:dyDescent="0.3"/>
  </sheetData>
  <pageMargins left="0.25" right="0.25" top="0.75" bottom="0.75" header="0.3" footer="0.3"/>
  <pageSetup paperSize="9" scale="73" orientation="portrait"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8BD012-45C3-438C-8FDC-322BEAC55A07}">
  <sheetPr>
    <tabColor theme="0"/>
  </sheetPr>
  <dimension ref="A1:G65"/>
  <sheetViews>
    <sheetView showGridLines="0" view="pageLayout" topLeftCell="A34" zoomScale="60" zoomScaleNormal="80" zoomScaleSheetLayoutView="70" zoomScalePageLayoutView="60" workbookViewId="0">
      <selection activeCell="B81" sqref="B81"/>
    </sheetView>
  </sheetViews>
  <sheetFormatPr defaultColWidth="9.140625" defaultRowHeight="21" x14ac:dyDescent="0.35"/>
  <cols>
    <col min="1" max="1" width="17.28515625" style="629" customWidth="1"/>
    <col min="2" max="2" width="50.7109375" style="629" customWidth="1"/>
    <col min="3" max="6" width="19.7109375" style="629" customWidth="1"/>
    <col min="7" max="7" width="21.42578125" style="629" customWidth="1"/>
    <col min="8" max="16384" width="9.140625" style="629"/>
  </cols>
  <sheetData>
    <row r="1" spans="1:7" ht="21.75" hidden="1" thickBot="1" x14ac:dyDescent="0.4"/>
    <row r="2" spans="1:7" ht="35.25" customHeight="1" x14ac:dyDescent="0.35">
      <c r="A2" s="2855" t="s">
        <v>340</v>
      </c>
      <c r="B2" s="2856"/>
      <c r="C2" s="2856"/>
      <c r="D2" s="2856"/>
      <c r="E2" s="2856"/>
      <c r="F2" s="2856"/>
      <c r="G2" s="2857"/>
    </row>
    <row r="3" spans="1:7" ht="35.25" customHeight="1" x14ac:dyDescent="0.35">
      <c r="A3" s="2858" t="s">
        <v>2918</v>
      </c>
      <c r="B3" s="2859"/>
      <c r="C3" s="2859"/>
      <c r="D3" s="2859"/>
      <c r="E3" s="2859"/>
      <c r="F3" s="2859"/>
      <c r="G3" s="2860"/>
    </row>
    <row r="4" spans="1:7" ht="42" customHeight="1" x14ac:dyDescent="0.35">
      <c r="A4" s="634" t="s">
        <v>349</v>
      </c>
      <c r="B4" s="630" t="s">
        <v>2906</v>
      </c>
      <c r="C4" s="631">
        <v>2000</v>
      </c>
      <c r="D4" s="631">
        <v>2010</v>
      </c>
      <c r="E4" s="631">
        <v>2019</v>
      </c>
      <c r="F4" s="631">
        <v>2020</v>
      </c>
      <c r="G4" s="631" t="s">
        <v>2905</v>
      </c>
    </row>
    <row r="5" spans="1:7" ht="35.25" customHeight="1" x14ac:dyDescent="0.35">
      <c r="A5" s="635">
        <v>1</v>
      </c>
      <c r="B5" s="2077" t="s">
        <v>134</v>
      </c>
      <c r="C5" s="2073">
        <v>33155.713207404122</v>
      </c>
      <c r="D5" s="2073">
        <v>34116.418192654863</v>
      </c>
      <c r="E5" s="2073">
        <v>37556.741012640116</v>
      </c>
      <c r="F5" s="2073">
        <v>37391.524354530055</v>
      </c>
      <c r="G5" s="2078">
        <v>58.562450529108276</v>
      </c>
    </row>
    <row r="6" spans="1:7" ht="35.25" customHeight="1" x14ac:dyDescent="0.35">
      <c r="A6" s="635">
        <v>2</v>
      </c>
      <c r="B6" s="2077" t="s">
        <v>141</v>
      </c>
      <c r="C6" s="2073">
        <v>25350</v>
      </c>
      <c r="D6" s="2073">
        <v>32262.749999999996</v>
      </c>
      <c r="E6" s="2073">
        <v>32101.378588650001</v>
      </c>
      <c r="F6" s="2073">
        <v>32101.378588650001</v>
      </c>
      <c r="G6" s="2078">
        <v>128.00295388527633</v>
      </c>
    </row>
    <row r="7" spans="1:7" ht="35.25" customHeight="1" x14ac:dyDescent="0.35">
      <c r="A7" s="635">
        <v>3</v>
      </c>
      <c r="B7" s="2077" t="s">
        <v>166</v>
      </c>
      <c r="C7" s="2073">
        <v>14948.505000000001</v>
      </c>
      <c r="D7" s="2073">
        <v>25923.722639127755</v>
      </c>
      <c r="E7" s="2073">
        <v>24665.471469000004</v>
      </c>
      <c r="F7" s="2073">
        <v>24665.471469000004</v>
      </c>
      <c r="G7" s="2078">
        <v>143.97417461805563</v>
      </c>
    </row>
    <row r="8" spans="1:7" ht="35.25" customHeight="1" x14ac:dyDescent="0.35">
      <c r="A8" s="635">
        <v>4</v>
      </c>
      <c r="B8" s="2077" t="s">
        <v>341</v>
      </c>
      <c r="C8" s="2073">
        <v>1815.45</v>
      </c>
      <c r="D8" s="2073">
        <v>13601.25</v>
      </c>
      <c r="E8" s="2073">
        <v>13601.25</v>
      </c>
      <c r="F8" s="2073">
        <v>13601.25</v>
      </c>
      <c r="G8" s="2078">
        <v>230.68055700318942</v>
      </c>
    </row>
    <row r="9" spans="1:7" ht="35.25" customHeight="1" x14ac:dyDescent="0.35">
      <c r="A9" s="635">
        <v>5</v>
      </c>
      <c r="B9" s="2077" t="s">
        <v>129</v>
      </c>
      <c r="C9" s="2073">
        <v>4810.6463607896249</v>
      </c>
      <c r="D9" s="2073">
        <v>8259.4145629218747</v>
      </c>
      <c r="E9" s="2073">
        <v>12618.704422344374</v>
      </c>
      <c r="F9" s="2073">
        <v>12618.704422344374</v>
      </c>
      <c r="G9" s="2078">
        <v>13.796649147024725</v>
      </c>
    </row>
    <row r="10" spans="1:7" ht="35.25" customHeight="1" x14ac:dyDescent="0.35">
      <c r="A10" s="635">
        <v>6</v>
      </c>
      <c r="B10" s="2077" t="s">
        <v>125</v>
      </c>
      <c r="C10" s="2073">
        <v>1377.6524090462146</v>
      </c>
      <c r="D10" s="2073">
        <v>2747.0937315634219</v>
      </c>
      <c r="E10" s="2073">
        <v>8398.5496558505401</v>
      </c>
      <c r="F10" s="2073">
        <v>8398.5496558505401</v>
      </c>
      <c r="G10" s="2078">
        <v>43.288311688311701</v>
      </c>
    </row>
    <row r="11" spans="1:7" ht="35.25" customHeight="1" x14ac:dyDescent="0.35">
      <c r="A11" s="635">
        <v>7</v>
      </c>
      <c r="B11" s="2077" t="s">
        <v>159</v>
      </c>
      <c r="C11" s="2073">
        <v>4609.1839800000007</v>
      </c>
      <c r="D11" s="2073">
        <v>6132.1996260360011</v>
      </c>
      <c r="E11" s="2073">
        <v>6260.1734064165266</v>
      </c>
      <c r="F11" s="2073">
        <v>6260.1734064165266</v>
      </c>
      <c r="G11" s="2078">
        <v>333.85009554853542</v>
      </c>
    </row>
    <row r="12" spans="1:7" ht="35.25" customHeight="1" x14ac:dyDescent="0.35">
      <c r="A12" s="635">
        <v>8</v>
      </c>
      <c r="B12" s="2077" t="s">
        <v>142</v>
      </c>
      <c r="C12" s="2073">
        <v>5985.95</v>
      </c>
      <c r="D12" s="2073">
        <v>7505.3810924999998</v>
      </c>
      <c r="E12" s="2073">
        <v>5984.5458350853196</v>
      </c>
      <c r="F12" s="2073">
        <v>6019.1200153744176</v>
      </c>
      <c r="G12" s="2078">
        <v>53.694173971144025</v>
      </c>
    </row>
    <row r="13" spans="1:7" ht="35.25" customHeight="1" x14ac:dyDescent="0.35">
      <c r="A13" s="635">
        <v>9</v>
      </c>
      <c r="B13" s="2077" t="s">
        <v>162</v>
      </c>
      <c r="C13" s="2073">
        <v>5844.15</v>
      </c>
      <c r="D13" s="2073">
        <v>5938.7250000000004</v>
      </c>
      <c r="E13" s="2073">
        <v>5938.7250000000004</v>
      </c>
      <c r="F13" s="2073">
        <v>5938.7250000000004</v>
      </c>
      <c r="G13" s="2078">
        <v>107.1353530274023</v>
      </c>
    </row>
    <row r="14" spans="1:7" ht="35.25" customHeight="1" x14ac:dyDescent="0.35">
      <c r="A14" s="635">
        <v>10</v>
      </c>
      <c r="B14" s="2077" t="s">
        <v>164</v>
      </c>
      <c r="C14" s="2073">
        <v>3900.7</v>
      </c>
      <c r="D14" s="2073">
        <v>4918.6915887850464</v>
      </c>
      <c r="E14" s="2073">
        <v>5472.9794499999998</v>
      </c>
      <c r="F14" s="2073">
        <v>5472.9794499999998</v>
      </c>
      <c r="G14" s="2078">
        <v>110.71926577757421</v>
      </c>
    </row>
    <row r="15" spans="1:7" ht="23.25" x14ac:dyDescent="0.35">
      <c r="A15" s="635">
        <v>11</v>
      </c>
      <c r="B15" s="2077" t="s">
        <v>160</v>
      </c>
      <c r="C15" s="2073">
        <v>2953.55</v>
      </c>
      <c r="D15" s="2073">
        <v>3000.1</v>
      </c>
      <c r="E15" s="2073">
        <v>3528.5259099999994</v>
      </c>
      <c r="F15" s="2073">
        <v>3528.5259099999994</v>
      </c>
      <c r="G15" s="2078">
        <v>336.29087522715781</v>
      </c>
    </row>
    <row r="16" spans="1:7" ht="35.25" customHeight="1" x14ac:dyDescent="0.35">
      <c r="A16" s="635">
        <v>12</v>
      </c>
      <c r="B16" s="2077" t="s">
        <v>170</v>
      </c>
      <c r="C16" s="2073">
        <v>990.19970902395687</v>
      </c>
      <c r="D16" s="2073">
        <v>1020.9230501032451</v>
      </c>
      <c r="E16" s="2073">
        <v>2503.6527991692847</v>
      </c>
      <c r="F16" s="2073">
        <v>2503.6527991692847</v>
      </c>
      <c r="G16" s="2078">
        <v>96.877291382500132</v>
      </c>
    </row>
    <row r="17" spans="1:7" ht="35.25" customHeight="1" x14ac:dyDescent="0.35">
      <c r="A17" s="635">
        <v>13</v>
      </c>
      <c r="B17" s="2077" t="s">
        <v>204</v>
      </c>
      <c r="C17" s="2073">
        <v>1718.3399999999997</v>
      </c>
      <c r="D17" s="2073">
        <v>2859.6648599999999</v>
      </c>
      <c r="E17" s="2073">
        <v>2389.5955044697198</v>
      </c>
      <c r="F17" s="2073">
        <v>2389.5955044697198</v>
      </c>
      <c r="G17" s="2078">
        <v>16.76720683682462</v>
      </c>
    </row>
    <row r="18" spans="1:7" ht="35.25" customHeight="1" x14ac:dyDescent="0.35">
      <c r="A18" s="635">
        <v>14</v>
      </c>
      <c r="B18" s="2077" t="s">
        <v>136</v>
      </c>
      <c r="C18" s="2073">
        <v>1640.925</v>
      </c>
      <c r="D18" s="2073">
        <v>1883.0710025093751</v>
      </c>
      <c r="E18" s="2073">
        <v>1994.0677701749999</v>
      </c>
      <c r="F18" s="2073">
        <v>2353.9576936499998</v>
      </c>
      <c r="G18" s="2078">
        <v>14.249581127153496</v>
      </c>
    </row>
    <row r="19" spans="1:7" ht="35.25" customHeight="1" x14ac:dyDescent="0.35">
      <c r="A19" s="635">
        <v>15</v>
      </c>
      <c r="B19" s="2077" t="s">
        <v>167</v>
      </c>
      <c r="C19" s="2073">
        <v>4353.3874999999998</v>
      </c>
      <c r="D19" s="2073">
        <v>4335.1000000000004</v>
      </c>
      <c r="E19" s="2073">
        <v>4335.1000000000004</v>
      </c>
      <c r="F19" s="2073">
        <v>2279.1999999999998</v>
      </c>
      <c r="G19" s="2078">
        <v>27.980621529008626</v>
      </c>
    </row>
    <row r="20" spans="1:7" ht="35.25" customHeight="1" x14ac:dyDescent="0.35">
      <c r="A20" s="635">
        <v>16</v>
      </c>
      <c r="B20" s="2077" t="s">
        <v>165</v>
      </c>
      <c r="C20" s="2073">
        <v>1713.232206740727</v>
      </c>
      <c r="D20" s="2073">
        <v>1713.232206740727</v>
      </c>
      <c r="E20" s="2073">
        <v>2257.1154469758785</v>
      </c>
      <c r="F20" s="2073">
        <v>2257.1154469758785</v>
      </c>
      <c r="G20" s="2078">
        <v>71.220688300145156</v>
      </c>
    </row>
    <row r="21" spans="1:7" ht="35.25" customHeight="1" x14ac:dyDescent="0.35">
      <c r="A21" s="635">
        <v>17</v>
      </c>
      <c r="B21" s="2077" t="s">
        <v>175</v>
      </c>
      <c r="C21" s="2073">
        <v>1379.2625</v>
      </c>
      <c r="D21" s="2073">
        <v>2127.125</v>
      </c>
      <c r="E21" s="2073">
        <v>2137.7125000000001</v>
      </c>
      <c r="F21" s="2073">
        <v>2137.7125000000001</v>
      </c>
      <c r="G21" s="2078">
        <v>36.563699650190756</v>
      </c>
    </row>
    <row r="22" spans="1:7" ht="35.25" customHeight="1" x14ac:dyDescent="0.35">
      <c r="A22" s="635">
        <v>18</v>
      </c>
      <c r="B22" s="2077" t="s">
        <v>161</v>
      </c>
      <c r="C22" s="2073">
        <v>1479.15</v>
      </c>
      <c r="D22" s="2073">
        <v>1694.8</v>
      </c>
      <c r="E22" s="2073">
        <v>1694.8</v>
      </c>
      <c r="F22" s="2073">
        <v>1694.8</v>
      </c>
      <c r="G22" s="2078">
        <v>113.20953979348307</v>
      </c>
    </row>
    <row r="23" spans="1:7" ht="35.25" customHeight="1" x14ac:dyDescent="0.35">
      <c r="A23" s="635">
        <v>19</v>
      </c>
      <c r="B23" s="2077" t="s">
        <v>173</v>
      </c>
      <c r="C23" s="2073">
        <v>1043.4360305</v>
      </c>
      <c r="D23" s="2073">
        <v>1208.6778747857206</v>
      </c>
      <c r="E23" s="2073">
        <v>1571.0558106298361</v>
      </c>
      <c r="F23" s="2073">
        <v>1569.0112490795359</v>
      </c>
      <c r="G23" s="2078">
        <v>54.783410456287726</v>
      </c>
    </row>
    <row r="24" spans="1:7" ht="35.25" customHeight="1" x14ac:dyDescent="0.35">
      <c r="A24" s="635">
        <v>20</v>
      </c>
      <c r="B24" s="2077" t="s">
        <v>163</v>
      </c>
      <c r="C24" s="2073">
        <v>1248.3</v>
      </c>
      <c r="D24" s="2073">
        <v>1420.25</v>
      </c>
      <c r="E24" s="2073">
        <v>1429.6544888133672</v>
      </c>
      <c r="F24" s="2073">
        <v>1429.6544888133672</v>
      </c>
      <c r="G24" s="2078">
        <v>107.44438604146062</v>
      </c>
    </row>
    <row r="25" spans="1:7" ht="35.25" customHeight="1" x14ac:dyDescent="0.35">
      <c r="A25" s="635">
        <v>21</v>
      </c>
      <c r="B25" s="2077" t="s">
        <v>169</v>
      </c>
      <c r="C25" s="2073">
        <v>1249.5575000000001</v>
      </c>
      <c r="D25" s="2073">
        <v>2026.6850000000002</v>
      </c>
      <c r="E25" s="2073">
        <v>1532.6780499999998</v>
      </c>
      <c r="F25" s="2073">
        <v>1429.1801499999999</v>
      </c>
      <c r="G25" s="2078">
        <v>12.823019691747778</v>
      </c>
    </row>
    <row r="26" spans="1:7" ht="39" customHeight="1" x14ac:dyDescent="0.35">
      <c r="A26" s="634">
        <v>22</v>
      </c>
      <c r="B26" s="2075" t="s">
        <v>132</v>
      </c>
      <c r="C26" s="2074">
        <v>731.31712499999992</v>
      </c>
      <c r="D26" s="2074">
        <v>1105.4986249999999</v>
      </c>
      <c r="E26" s="2074">
        <v>1328.8660897833995</v>
      </c>
      <c r="F26" s="2074">
        <v>1320.4431160449042</v>
      </c>
      <c r="G26" s="2076">
        <v>55.572903949151019</v>
      </c>
    </row>
    <row r="27" spans="1:7" ht="31.5" customHeight="1" x14ac:dyDescent="0.35">
      <c r="A27" s="635">
        <v>23</v>
      </c>
      <c r="B27" s="2077" t="s">
        <v>145</v>
      </c>
      <c r="C27" s="2073">
        <v>2722.23</v>
      </c>
      <c r="D27" s="2073">
        <v>3009.5332239524996</v>
      </c>
      <c r="E27" s="2073">
        <v>1429.5484004993625</v>
      </c>
      <c r="F27" s="2073">
        <v>1252.2716318174998</v>
      </c>
      <c r="G27" s="2078">
        <v>19.82933880824077</v>
      </c>
    </row>
    <row r="28" spans="1:7" ht="32.25" customHeight="1" x14ac:dyDescent="0.35">
      <c r="A28" s="635">
        <v>24</v>
      </c>
      <c r="B28" s="2077" t="s">
        <v>342</v>
      </c>
      <c r="C28" s="2073">
        <v>785.03030474228194</v>
      </c>
      <c r="D28" s="2073">
        <v>730.19788040806316</v>
      </c>
      <c r="E28" s="2073">
        <v>1091.2109671474802</v>
      </c>
      <c r="F28" s="2073">
        <v>1091.2109671474802</v>
      </c>
      <c r="G28" s="2078">
        <v>57.50905365433843</v>
      </c>
    </row>
    <row r="29" spans="1:7" ht="40.5" customHeight="1" x14ac:dyDescent="0.35">
      <c r="A29" s="635">
        <v>25</v>
      </c>
      <c r="B29" s="2077" t="s">
        <v>178</v>
      </c>
      <c r="C29" s="2073">
        <v>1063.5569936578127</v>
      </c>
      <c r="D29" s="2073">
        <v>1027.2670498726654</v>
      </c>
      <c r="E29" s="2073">
        <v>908.23063050878829</v>
      </c>
      <c r="F29" s="2073">
        <v>908.23063050878829</v>
      </c>
      <c r="G29" s="2078">
        <v>12.40845825563526</v>
      </c>
    </row>
    <row r="30" spans="1:7" ht="35.25" customHeight="1" x14ac:dyDescent="0.35">
      <c r="A30" s="635">
        <v>26</v>
      </c>
      <c r="B30" s="2077" t="s">
        <v>343</v>
      </c>
      <c r="C30" s="2073">
        <v>913.57500000000005</v>
      </c>
      <c r="D30" s="2073">
        <v>873.5999999999998</v>
      </c>
      <c r="E30" s="2073">
        <v>845.32500000000005</v>
      </c>
      <c r="F30" s="2073">
        <v>845.32500000000005</v>
      </c>
      <c r="G30" s="2078">
        <v>17.957649794710278</v>
      </c>
    </row>
    <row r="31" spans="1:7" ht="35.25" customHeight="1" x14ac:dyDescent="0.35">
      <c r="A31" s="635">
        <v>27</v>
      </c>
      <c r="B31" s="2077" t="s">
        <v>171</v>
      </c>
      <c r="C31" s="2073">
        <v>809.60750000000007</v>
      </c>
      <c r="D31" s="2073">
        <v>490.2658800000001</v>
      </c>
      <c r="E31" s="2073">
        <v>666.34750000000008</v>
      </c>
      <c r="F31" s="2073">
        <v>666.34750000000008</v>
      </c>
      <c r="G31" s="2078">
        <v>18.043330447840724</v>
      </c>
    </row>
    <row r="32" spans="1:7" ht="35.25" customHeight="1" x14ac:dyDescent="0.35">
      <c r="A32" s="635">
        <v>28</v>
      </c>
      <c r="B32" s="2077" t="s">
        <v>172</v>
      </c>
      <c r="C32" s="2073">
        <v>165.75</v>
      </c>
      <c r="D32" s="2073">
        <v>645.9286386595777</v>
      </c>
      <c r="E32" s="2073">
        <v>645.9286386595777</v>
      </c>
      <c r="F32" s="2073">
        <v>645.9286386595777</v>
      </c>
      <c r="G32" s="2078">
        <v>74.137308357652842</v>
      </c>
    </row>
    <row r="33" spans="1:7" ht="35.25" customHeight="1" x14ac:dyDescent="0.35">
      <c r="A33" s="635">
        <v>29</v>
      </c>
      <c r="B33" s="2077" t="s">
        <v>344</v>
      </c>
      <c r="C33" s="2073">
        <v>43.875</v>
      </c>
      <c r="D33" s="2073">
        <v>196.95</v>
      </c>
      <c r="E33" s="2073">
        <v>566.70502196365715</v>
      </c>
      <c r="F33" s="2073">
        <v>588.55774267410425</v>
      </c>
      <c r="G33" s="2078">
        <v>39.707317483950249</v>
      </c>
    </row>
    <row r="34" spans="1:7" ht="29.25" customHeight="1" x14ac:dyDescent="0.35">
      <c r="A34" s="635">
        <v>30</v>
      </c>
      <c r="B34" s="2077" t="s">
        <v>345</v>
      </c>
      <c r="C34" s="2073">
        <v>279.82499999999999</v>
      </c>
      <c r="D34" s="2073">
        <v>217.23189422347915</v>
      </c>
      <c r="E34" s="2073">
        <v>446.93441588332541</v>
      </c>
      <c r="F34" s="2073">
        <v>432.21186916584657</v>
      </c>
      <c r="G34" s="2078">
        <v>24.44736200022286</v>
      </c>
    </row>
    <row r="35" spans="1:7" ht="24" customHeight="1" x14ac:dyDescent="0.35">
      <c r="A35" s="635"/>
      <c r="B35" s="2075" t="s">
        <v>2910</v>
      </c>
      <c r="C35" s="2074">
        <f>SUM(C5:C34)</f>
        <v>129082.05832690471</v>
      </c>
      <c r="D35" s="2074">
        <f>SUM(D5:D34)</f>
        <v>172991.74861984432</v>
      </c>
      <c r="E35" s="2074">
        <f>SUM(E5:E34)</f>
        <v>185901.57378466558</v>
      </c>
      <c r="F35" s="2074">
        <f>SUM(F5:F34)</f>
        <v>183790.80920034199</v>
      </c>
      <c r="G35" s="2078"/>
    </row>
    <row r="36" spans="1:7" ht="30" customHeight="1" x14ac:dyDescent="0.35">
      <c r="A36" s="636"/>
      <c r="B36" s="907" t="s">
        <v>346</v>
      </c>
      <c r="C36" s="2082">
        <f>C37-C35</f>
        <v>8941.1348788961623</v>
      </c>
      <c r="D36" s="2082">
        <f>D37-D35</f>
        <v>6949.0804648649064</v>
      </c>
      <c r="E36" s="2082">
        <f>E37-E35</f>
        <v>4366.3028167397133</v>
      </c>
      <c r="F36" s="2082">
        <f>F37-F35</f>
        <v>4283.4168871127185</v>
      </c>
      <c r="G36" s="1569"/>
    </row>
    <row r="37" spans="1:7" ht="34.5" customHeight="1" x14ac:dyDescent="0.35">
      <c r="A37" s="636"/>
      <c r="B37" s="2075" t="s">
        <v>146</v>
      </c>
      <c r="C37" s="2074">
        <v>138023.19320580087</v>
      </c>
      <c r="D37" s="2074">
        <v>179940.82908470923</v>
      </c>
      <c r="E37" s="2074">
        <v>190267.8766014053</v>
      </c>
      <c r="F37" s="2074">
        <v>188074.22608745471</v>
      </c>
      <c r="G37" s="2076">
        <v>48.804016923151217</v>
      </c>
    </row>
    <row r="38" spans="1:7" ht="28.5" customHeight="1" x14ac:dyDescent="0.35">
      <c r="A38" s="636"/>
      <c r="B38" s="2077" t="s">
        <v>180</v>
      </c>
      <c r="C38" s="2073">
        <v>13602.136461759204</v>
      </c>
      <c r="D38" s="2073">
        <v>17581.645472263037</v>
      </c>
      <c r="E38" s="2073">
        <v>20006.327159899676</v>
      </c>
      <c r="F38" s="2073">
        <v>20279.693883704655</v>
      </c>
      <c r="G38" s="2076">
        <v>13.716851694952192</v>
      </c>
    </row>
    <row r="39" spans="1:7" ht="35.25" customHeight="1" x14ac:dyDescent="0.35">
      <c r="A39" s="636"/>
      <c r="B39" s="2077" t="s">
        <v>181</v>
      </c>
      <c r="C39" s="2073">
        <v>124421.05674404163</v>
      </c>
      <c r="D39" s="2073">
        <v>162359.1836124463</v>
      </c>
      <c r="E39" s="2073">
        <v>170261.54944150563</v>
      </c>
      <c r="F39" s="2073">
        <v>167794.53220375013</v>
      </c>
      <c r="G39" s="2076">
        <v>70.644030113712404</v>
      </c>
    </row>
    <row r="40" spans="1:7" ht="45" customHeight="1" x14ac:dyDescent="0.35">
      <c r="A40" s="636"/>
      <c r="B40" s="2077" t="s">
        <v>347</v>
      </c>
      <c r="C40" s="2073">
        <v>2547.5176009695829</v>
      </c>
      <c r="D40" s="2073">
        <v>1636.0521731431961</v>
      </c>
      <c r="E40" s="2073">
        <v>446.49596998867406</v>
      </c>
      <c r="F40" s="2073">
        <v>441.81565785490676</v>
      </c>
      <c r="G40" s="2076">
        <v>9.2419445526619466</v>
      </c>
    </row>
    <row r="41" spans="1:7" ht="35.25" customHeight="1" x14ac:dyDescent="0.35">
      <c r="A41" s="2081" t="s">
        <v>2907</v>
      </c>
      <c r="B41" s="2079"/>
      <c r="C41" s="2079"/>
      <c r="D41" s="2079"/>
      <c r="E41" s="2079"/>
      <c r="F41" s="2079"/>
      <c r="G41" s="2080"/>
    </row>
    <row r="42" spans="1:7" ht="78" customHeight="1" thickBot="1" x14ac:dyDescent="0.4">
      <c r="A42" s="2861" t="s">
        <v>2908</v>
      </c>
      <c r="B42" s="2862"/>
      <c r="C42" s="2862"/>
      <c r="D42" s="2862"/>
      <c r="E42" s="2862"/>
      <c r="F42" s="2862"/>
      <c r="G42" s="2863"/>
    </row>
    <row r="65" ht="1.5" customHeight="1" x14ac:dyDescent="0.35"/>
  </sheetData>
  <mergeCells count="3">
    <mergeCell ref="A2:G2"/>
    <mergeCell ref="A3:G3"/>
    <mergeCell ref="A42:G42"/>
  </mergeCells>
  <pageMargins left="0.70866141732283472" right="0.70866141732283472" top="0.74803149606299213" bottom="0.74803149606299213" header="0.31496062992125984" footer="0.31496062992125984"/>
  <pageSetup paperSize="9" scale="47" orientation="portrait" horizontalDpi="300" verticalDpi="300"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B20B2C-EEC8-4364-8BB2-BE0511B3EB8C}">
  <sheetPr>
    <tabColor theme="0"/>
    <pageSetUpPr fitToPage="1"/>
  </sheetPr>
  <dimension ref="A1:G64"/>
  <sheetViews>
    <sheetView showGridLines="0" view="pageLayout" topLeftCell="A35" zoomScale="70" zoomScaleNormal="80" zoomScalePageLayoutView="70" workbookViewId="0">
      <selection activeCell="B81" sqref="B81"/>
    </sheetView>
  </sheetViews>
  <sheetFormatPr defaultColWidth="9.140625" defaultRowHeight="15.75" x14ac:dyDescent="0.25"/>
  <cols>
    <col min="1" max="1" width="15" style="390" customWidth="1"/>
    <col min="2" max="2" width="43.42578125" style="390" customWidth="1"/>
    <col min="3" max="3" width="16.5703125" style="390" customWidth="1"/>
    <col min="4" max="5" width="18.140625" style="390" customWidth="1"/>
    <col min="6" max="6" width="17.42578125" style="390" customWidth="1"/>
    <col min="7" max="7" width="23.5703125" style="390" customWidth="1"/>
    <col min="8" max="9" width="9.140625" style="390"/>
    <col min="10" max="10" width="36.28515625" style="390" customWidth="1"/>
    <col min="11" max="16384" width="9.140625" style="390"/>
  </cols>
  <sheetData>
    <row r="1" spans="1:7" ht="16.5" thickBot="1" x14ac:dyDescent="0.3"/>
    <row r="2" spans="1:7" ht="26.25" customHeight="1" x14ac:dyDescent="0.25">
      <c r="A2" s="2864" t="s">
        <v>348</v>
      </c>
      <c r="B2" s="2865"/>
      <c r="C2" s="2866"/>
      <c r="D2" s="2866"/>
      <c r="E2" s="2866"/>
      <c r="F2" s="2866"/>
      <c r="G2" s="2867"/>
    </row>
    <row r="3" spans="1:7" ht="26.25" customHeight="1" x14ac:dyDescent="0.25">
      <c r="A3" s="2868" t="s">
        <v>2918</v>
      </c>
      <c r="B3" s="2869"/>
      <c r="C3" s="2870"/>
      <c r="D3" s="2870"/>
      <c r="E3" s="2870"/>
      <c r="F3" s="2870"/>
      <c r="G3" s="2871"/>
    </row>
    <row r="4" spans="1:7" ht="27.75" customHeight="1" x14ac:dyDescent="0.25">
      <c r="A4" s="634" t="s">
        <v>349</v>
      </c>
      <c r="B4" s="630" t="s">
        <v>116</v>
      </c>
      <c r="C4" s="638">
        <v>2021</v>
      </c>
      <c r="D4" s="638">
        <v>2022</v>
      </c>
      <c r="E4" s="638">
        <v>2023</v>
      </c>
      <c r="F4" s="638">
        <v>2024</v>
      </c>
      <c r="G4" s="638">
        <v>2025</v>
      </c>
    </row>
    <row r="5" spans="1:7" ht="24.95" customHeight="1" x14ac:dyDescent="0.25">
      <c r="A5" s="635">
        <v>1</v>
      </c>
      <c r="B5" s="907" t="s">
        <v>129</v>
      </c>
      <c r="C5" s="2082">
        <v>944.45590379722819</v>
      </c>
      <c r="D5" s="2082">
        <v>990.70061077773767</v>
      </c>
      <c r="E5" s="2082">
        <v>1028.8884892453002</v>
      </c>
      <c r="F5" s="2082">
        <v>1031.8645116651819</v>
      </c>
      <c r="G5" s="2078">
        <v>1073.7426853648499</v>
      </c>
    </row>
    <row r="6" spans="1:7" ht="24.95" customHeight="1" x14ac:dyDescent="0.25">
      <c r="A6" s="635">
        <v>2</v>
      </c>
      <c r="B6" s="907" t="s">
        <v>134</v>
      </c>
      <c r="C6" s="2082">
        <v>702.11685658775809</v>
      </c>
      <c r="D6" s="2082">
        <v>618.36819404719779</v>
      </c>
      <c r="E6" s="2082">
        <v>586.38219987241871</v>
      </c>
      <c r="F6" s="2082">
        <v>629.8638355154867</v>
      </c>
      <c r="G6" s="2078">
        <v>609.38583877654878</v>
      </c>
    </row>
    <row r="7" spans="1:7" ht="24.95" customHeight="1" x14ac:dyDescent="0.25">
      <c r="A7" s="635">
        <v>3</v>
      </c>
      <c r="B7" s="907" t="s">
        <v>141</v>
      </c>
      <c r="C7" s="2082">
        <v>242.84880105000002</v>
      </c>
      <c r="D7" s="2082">
        <v>247.705777071</v>
      </c>
      <c r="E7" s="2082">
        <v>259.73750000000001</v>
      </c>
      <c r="F7" s="2082">
        <v>262.20336234177216</v>
      </c>
      <c r="G7" s="2078">
        <v>264.8253959651899</v>
      </c>
    </row>
    <row r="8" spans="1:7" ht="24.95" customHeight="1" x14ac:dyDescent="0.25">
      <c r="A8" s="635">
        <v>4</v>
      </c>
      <c r="B8" s="907" t="s">
        <v>125</v>
      </c>
      <c r="C8" s="2082">
        <v>209.2169124877089</v>
      </c>
      <c r="D8" s="2082">
        <v>221.84144542772862</v>
      </c>
      <c r="E8" s="2082">
        <v>234.25835791543756</v>
      </c>
      <c r="F8" s="2082">
        <v>248.38965093411994</v>
      </c>
      <c r="G8" s="2078">
        <v>264.1234513274336</v>
      </c>
    </row>
    <row r="9" spans="1:7" ht="24.95" customHeight="1" x14ac:dyDescent="0.25">
      <c r="A9" s="635">
        <v>5</v>
      </c>
      <c r="B9" s="907" t="s">
        <v>136</v>
      </c>
      <c r="C9" s="2082">
        <v>176.50311750000003</v>
      </c>
      <c r="D9" s="2082">
        <v>189.453495</v>
      </c>
      <c r="E9" s="2082">
        <v>195.01949499999998</v>
      </c>
      <c r="F9" s="2082">
        <v>199.47084749999999</v>
      </c>
      <c r="G9" s="2078">
        <v>206.22717750000001</v>
      </c>
    </row>
    <row r="10" spans="1:7" ht="24.95" customHeight="1" x14ac:dyDescent="0.25">
      <c r="A10" s="635">
        <v>6</v>
      </c>
      <c r="B10" s="907" t="s">
        <v>166</v>
      </c>
      <c r="C10" s="2082">
        <v>176.98039944113219</v>
      </c>
      <c r="D10" s="2082">
        <v>178.47829597576126</v>
      </c>
      <c r="E10" s="2082">
        <v>180.97658656642366</v>
      </c>
      <c r="F10" s="2082">
        <v>179.70341946952553</v>
      </c>
      <c r="G10" s="2078">
        <v>183.51544740065791</v>
      </c>
    </row>
    <row r="11" spans="1:7" ht="24.95" customHeight="1" x14ac:dyDescent="0.25">
      <c r="A11" s="635">
        <v>7</v>
      </c>
      <c r="B11" s="907" t="s">
        <v>204</v>
      </c>
      <c r="C11" s="2082">
        <v>147.92602331205157</v>
      </c>
      <c r="D11" s="2082">
        <v>154.23913416054663</v>
      </c>
      <c r="E11" s="2082">
        <v>150.71116284526676</v>
      </c>
      <c r="F11" s="2082">
        <v>152.29298701633883</v>
      </c>
      <c r="G11" s="2078">
        <v>148.57379297307531</v>
      </c>
    </row>
    <row r="12" spans="1:7" ht="24.95" customHeight="1" x14ac:dyDescent="0.25">
      <c r="A12" s="635">
        <v>8</v>
      </c>
      <c r="B12" s="907" t="s">
        <v>142</v>
      </c>
      <c r="C12" s="2082">
        <v>114.46067628</v>
      </c>
      <c r="D12" s="2082">
        <v>116.74988980559999</v>
      </c>
      <c r="E12" s="2082">
        <v>117.3546975610213</v>
      </c>
      <c r="F12" s="2082">
        <v>123.56829974256807</v>
      </c>
      <c r="G12" s="2078">
        <v>133.75457220176358</v>
      </c>
    </row>
    <row r="13" spans="1:7" ht="24.95" customHeight="1" x14ac:dyDescent="0.25">
      <c r="A13" s="635">
        <v>9</v>
      </c>
      <c r="B13" s="907" t="s">
        <v>169</v>
      </c>
      <c r="C13" s="2082">
        <v>113.09901678207825</v>
      </c>
      <c r="D13" s="2082">
        <v>122.84415069103503</v>
      </c>
      <c r="E13" s="2082">
        <v>116.0313025292</v>
      </c>
      <c r="F13" s="2082">
        <v>124.2605308859215</v>
      </c>
      <c r="G13" s="2078">
        <v>120.560473647691</v>
      </c>
    </row>
    <row r="14" spans="1:7" ht="24.95" customHeight="1" x14ac:dyDescent="0.25">
      <c r="A14" s="635">
        <v>10</v>
      </c>
      <c r="B14" s="907" t="s">
        <v>167</v>
      </c>
      <c r="C14" s="2082">
        <v>101.0981125</v>
      </c>
      <c r="D14" s="2082">
        <v>97.632149999999996</v>
      </c>
      <c r="E14" s="2082">
        <v>101.52642499999999</v>
      </c>
      <c r="F14" s="2082">
        <v>100.19239999999999</v>
      </c>
      <c r="G14" s="2078">
        <v>98.021000000000001</v>
      </c>
    </row>
    <row r="15" spans="1:7" ht="23.25" x14ac:dyDescent="0.25">
      <c r="A15" s="635">
        <v>11</v>
      </c>
      <c r="B15" s="907" t="s">
        <v>178</v>
      </c>
      <c r="C15" s="2083">
        <v>78.977937234261219</v>
      </c>
      <c r="D15" s="2083">
        <v>83.002747744273179</v>
      </c>
      <c r="E15" s="2083">
        <v>78.006444270562525</v>
      </c>
      <c r="F15" s="2083">
        <v>79.803436774815083</v>
      </c>
      <c r="G15" s="2076">
        <v>80.234363246139566</v>
      </c>
    </row>
    <row r="16" spans="1:7" ht="24.95" customHeight="1" x14ac:dyDescent="0.25">
      <c r="A16" s="635">
        <v>12</v>
      </c>
      <c r="B16" s="907" t="s">
        <v>341</v>
      </c>
      <c r="C16" s="2082">
        <v>79.283595132743386</v>
      </c>
      <c r="D16" s="2082">
        <v>78.268190757128806</v>
      </c>
      <c r="E16" s="2082">
        <v>76.298425516224199</v>
      </c>
      <c r="F16" s="2082">
        <v>73.463356686332347</v>
      </c>
      <c r="G16" s="2078">
        <v>72.426090216322535</v>
      </c>
    </row>
    <row r="17" spans="1:7" ht="24.95" customHeight="1" x14ac:dyDescent="0.25">
      <c r="A17" s="635">
        <v>13</v>
      </c>
      <c r="B17" s="907" t="s">
        <v>145</v>
      </c>
      <c r="C17" s="2082">
        <v>66.547333333333341</v>
      </c>
      <c r="D17" s="2082">
        <v>65.499138888888879</v>
      </c>
      <c r="E17" s="2082">
        <v>68.143888888888881</v>
      </c>
      <c r="F17" s="2082">
        <v>71.388749999999987</v>
      </c>
      <c r="G17" s="2078">
        <v>71.817222222222227</v>
      </c>
    </row>
    <row r="18" spans="1:7" ht="24.95" customHeight="1" x14ac:dyDescent="0.25">
      <c r="A18" s="635">
        <v>14</v>
      </c>
      <c r="B18" s="907" t="s">
        <v>162</v>
      </c>
      <c r="C18" s="2082">
        <v>53.122602869293473</v>
      </c>
      <c r="D18" s="2082">
        <v>54.185054926679335</v>
      </c>
      <c r="E18" s="2082">
        <v>55.268756025212916</v>
      </c>
      <c r="F18" s="2082">
        <v>56.374131145717186</v>
      </c>
      <c r="G18" s="2078">
        <v>58.629096391545872</v>
      </c>
    </row>
    <row r="19" spans="1:7" ht="24.95" customHeight="1" x14ac:dyDescent="0.25">
      <c r="A19" s="635">
        <v>15</v>
      </c>
      <c r="B19" s="907" t="s">
        <v>164</v>
      </c>
      <c r="C19" s="2082">
        <v>52.440818539469561</v>
      </c>
      <c r="D19" s="2082">
        <v>47.119420988925626</v>
      </c>
      <c r="E19" s="2082">
        <v>44.350721185210233</v>
      </c>
      <c r="F19" s="2082">
        <v>46.845839717959365</v>
      </c>
      <c r="G19" s="2078">
        <v>50.77434515859845</v>
      </c>
    </row>
    <row r="20" spans="1:7" ht="24.95" customHeight="1" x14ac:dyDescent="0.25">
      <c r="A20" s="635">
        <v>16</v>
      </c>
      <c r="B20" s="907" t="s">
        <v>171</v>
      </c>
      <c r="C20" s="2082">
        <v>40.251956948335199</v>
      </c>
      <c r="D20" s="2082">
        <v>42.111180453570263</v>
      </c>
      <c r="E20" s="2082">
        <v>43.152696967593251</v>
      </c>
      <c r="F20" s="2082">
        <v>45.320673776572121</v>
      </c>
      <c r="G20" s="2078">
        <v>45.613636415097794</v>
      </c>
    </row>
    <row r="21" spans="1:7" ht="24.95" customHeight="1" x14ac:dyDescent="0.25">
      <c r="A21" s="635">
        <v>17</v>
      </c>
      <c r="B21" s="907" t="s">
        <v>179</v>
      </c>
      <c r="C21" s="2082">
        <v>38.608494583749952</v>
      </c>
      <c r="D21" s="2082">
        <v>41.65244289457501</v>
      </c>
      <c r="E21" s="2082">
        <v>41.593362128899983</v>
      </c>
      <c r="F21" s="2082">
        <v>44.113309001125032</v>
      </c>
      <c r="G21" s="2078">
        <v>45.154346765250047</v>
      </c>
    </row>
    <row r="22" spans="1:7" ht="24.95" customHeight="1" x14ac:dyDescent="0.25">
      <c r="A22" s="635">
        <v>18</v>
      </c>
      <c r="B22" s="907" t="s">
        <v>175</v>
      </c>
      <c r="C22" s="2082">
        <v>67.799432891845711</v>
      </c>
      <c r="D22" s="2082">
        <v>64.488183337402347</v>
      </c>
      <c r="E22" s="2082">
        <v>57.10040508422852</v>
      </c>
      <c r="F22" s="2082">
        <v>47.519168991088868</v>
      </c>
      <c r="G22" s="2078">
        <v>40.757411688232423</v>
      </c>
    </row>
    <row r="23" spans="1:7" ht="24.95" customHeight="1" x14ac:dyDescent="0.25">
      <c r="A23" s="635">
        <v>19</v>
      </c>
      <c r="B23" s="907" t="s">
        <v>343</v>
      </c>
      <c r="C23" s="2082">
        <v>50.918851683874138</v>
      </c>
      <c r="D23" s="2082">
        <v>48.909006882989175</v>
      </c>
      <c r="E23" s="2082">
        <v>44.207236971484754</v>
      </c>
      <c r="F23" s="2082">
        <v>39.298486971484749</v>
      </c>
      <c r="G23" s="2078">
        <v>40.033185840707958</v>
      </c>
    </row>
    <row r="24" spans="1:7" ht="24.95" customHeight="1" x14ac:dyDescent="0.25">
      <c r="A24" s="635">
        <v>20</v>
      </c>
      <c r="B24" s="907" t="s">
        <v>173</v>
      </c>
      <c r="C24" s="2082">
        <v>29.790053661143979</v>
      </c>
      <c r="D24" s="2082">
        <v>32.24841271646536</v>
      </c>
      <c r="E24" s="2082">
        <v>35.194124008799378</v>
      </c>
      <c r="F24" s="2082">
        <v>35.198407413356506</v>
      </c>
      <c r="G24" s="2078">
        <v>39.277847078859104</v>
      </c>
    </row>
    <row r="25" spans="1:7" ht="24.95" customHeight="1" x14ac:dyDescent="0.25">
      <c r="A25" s="635">
        <v>21</v>
      </c>
      <c r="B25" s="907" t="s">
        <v>165</v>
      </c>
      <c r="C25" s="2082">
        <v>26.695502000000005</v>
      </c>
      <c r="D25" s="2082">
        <v>27.600664900000005</v>
      </c>
      <c r="E25" s="2082">
        <v>29.536112565656254</v>
      </c>
      <c r="F25" s="2082">
        <v>33.382675033260426</v>
      </c>
      <c r="G25" s="2078">
        <v>38.391223370109302</v>
      </c>
    </row>
    <row r="26" spans="1:7" ht="24.95" customHeight="1" x14ac:dyDescent="0.25">
      <c r="A26" s="635">
        <v>22</v>
      </c>
      <c r="B26" s="907" t="s">
        <v>170</v>
      </c>
      <c r="C26" s="2082">
        <v>31.808315749999998</v>
      </c>
      <c r="D26" s="2082">
        <v>34.134045000000008</v>
      </c>
      <c r="E26" s="2082">
        <v>35.558659999999996</v>
      </c>
      <c r="F26" s="2082">
        <v>37.759887500000005</v>
      </c>
      <c r="G26" s="2078">
        <v>37.841912650637468</v>
      </c>
    </row>
    <row r="27" spans="1:7" ht="24.95" customHeight="1" x14ac:dyDescent="0.25">
      <c r="A27" s="635">
        <v>23</v>
      </c>
      <c r="B27" s="907" t="s">
        <v>140</v>
      </c>
      <c r="C27" s="2082">
        <v>34.337771131047624</v>
      </c>
      <c r="D27" s="2082">
        <v>36.095641816040882</v>
      </c>
      <c r="E27" s="2082">
        <v>38.701061102548962</v>
      </c>
      <c r="F27" s="2082">
        <v>35.843737641488651</v>
      </c>
      <c r="G27" s="2078">
        <v>34.79098187086133</v>
      </c>
    </row>
    <row r="28" spans="1:7" ht="24.95" customHeight="1" x14ac:dyDescent="0.25">
      <c r="A28" s="634">
        <v>24</v>
      </c>
      <c r="B28" s="908" t="s">
        <v>132</v>
      </c>
      <c r="C28" s="2083">
        <v>28.538813383206804</v>
      </c>
      <c r="D28" s="2083">
        <v>29.801926992227862</v>
      </c>
      <c r="E28" s="2083">
        <v>31.585488535476742</v>
      </c>
      <c r="F28" s="2083">
        <v>32.371184448244954</v>
      </c>
      <c r="G28" s="2076">
        <v>31.165318854496753</v>
      </c>
    </row>
    <row r="29" spans="1:7" ht="24.95" customHeight="1" x14ac:dyDescent="0.25">
      <c r="A29" s="635">
        <v>25</v>
      </c>
      <c r="B29" s="907" t="s">
        <v>159</v>
      </c>
      <c r="C29" s="2082">
        <v>28.059107252315357</v>
      </c>
      <c r="D29" s="2082">
        <v>29.05554566581414</v>
      </c>
      <c r="E29" s="2082">
        <v>29.683372880704827</v>
      </c>
      <c r="F29" s="2082">
        <v>31.731195470655543</v>
      </c>
      <c r="G29" s="2078">
        <v>31.044105439351842</v>
      </c>
    </row>
    <row r="30" spans="1:7" ht="24.95" customHeight="1" x14ac:dyDescent="0.25">
      <c r="A30" s="635">
        <v>26</v>
      </c>
      <c r="B30" s="907" t="s">
        <v>144</v>
      </c>
      <c r="C30" s="2082">
        <v>32.786413199999998</v>
      </c>
      <c r="D30" s="2082">
        <v>38.118195900000003</v>
      </c>
      <c r="E30" s="2082">
        <v>34.489677599999993</v>
      </c>
      <c r="F30" s="2082">
        <v>30.718629</v>
      </c>
      <c r="G30" s="2078">
        <v>29.932212599999996</v>
      </c>
    </row>
    <row r="31" spans="1:7" ht="24.95" customHeight="1" x14ac:dyDescent="0.25">
      <c r="A31" s="635">
        <v>27</v>
      </c>
      <c r="B31" s="907" t="s">
        <v>203</v>
      </c>
      <c r="C31" s="2082">
        <v>31.525940764302582</v>
      </c>
      <c r="D31" s="2082">
        <v>25.343555251271802</v>
      </c>
      <c r="E31" s="2082">
        <v>25.671956038969775</v>
      </c>
      <c r="F31" s="2082">
        <v>28.532763429178193</v>
      </c>
      <c r="G31" s="2078">
        <v>29.373139350654686</v>
      </c>
    </row>
    <row r="32" spans="1:7" ht="24.95" customHeight="1" x14ac:dyDescent="0.25">
      <c r="A32" s="635">
        <v>28</v>
      </c>
      <c r="B32" s="907" t="s">
        <v>139</v>
      </c>
      <c r="C32" s="2082">
        <v>24.33267807291687</v>
      </c>
      <c r="D32" s="2082">
        <v>23.002668726461472</v>
      </c>
      <c r="E32" s="2082">
        <v>23.422761143204756</v>
      </c>
      <c r="F32" s="2082">
        <v>22.83854276847395</v>
      </c>
      <c r="G32" s="2078">
        <v>26.568219456508842</v>
      </c>
    </row>
    <row r="33" spans="1:7" ht="24.95" customHeight="1" x14ac:dyDescent="0.25">
      <c r="A33" s="635">
        <v>29</v>
      </c>
      <c r="B33" s="907" t="s">
        <v>344</v>
      </c>
      <c r="C33" s="2082">
        <v>18.327430099530002</v>
      </c>
      <c r="D33" s="2082">
        <v>20.845195250579998</v>
      </c>
      <c r="E33" s="2082">
        <v>23.467479200000003</v>
      </c>
      <c r="F33" s="2082">
        <v>25.842674100000004</v>
      </c>
      <c r="G33" s="2078">
        <v>25.940213583537293</v>
      </c>
    </row>
    <row r="34" spans="1:7" ht="24.95" customHeight="1" x14ac:dyDescent="0.25">
      <c r="A34" s="635">
        <v>30</v>
      </c>
      <c r="B34" s="907" t="s">
        <v>350</v>
      </c>
      <c r="C34" s="2082">
        <v>32.661427133499593</v>
      </c>
      <c r="D34" s="2082">
        <v>28.628294134824824</v>
      </c>
      <c r="E34" s="2082">
        <v>27.703018280168997</v>
      </c>
      <c r="F34" s="2082">
        <v>26.088779858766749</v>
      </c>
      <c r="G34" s="2078">
        <v>24.942099965003862</v>
      </c>
    </row>
    <row r="35" spans="1:7" ht="34.5" customHeight="1" x14ac:dyDescent="0.25">
      <c r="A35" s="635"/>
      <c r="B35" s="908" t="s">
        <v>352</v>
      </c>
      <c r="C35" s="2083">
        <f>SUM(C5:C34)</f>
        <v>3775.5202954028259</v>
      </c>
      <c r="D35" s="2083">
        <f>SUM(D5:D34)</f>
        <v>3788.1226561847257</v>
      </c>
      <c r="E35" s="2083">
        <f>SUM(E5:E34)</f>
        <v>3814.0218649289027</v>
      </c>
      <c r="F35" s="2083">
        <f>SUM(F5:F34)</f>
        <v>3896.2454747994334</v>
      </c>
      <c r="G35" s="2085">
        <f>SUM(G5:G34)</f>
        <v>3957.4368073213477</v>
      </c>
    </row>
    <row r="36" spans="1:7" ht="24.95" customHeight="1" x14ac:dyDescent="0.25">
      <c r="A36" s="635"/>
      <c r="B36" s="907" t="s">
        <v>346</v>
      </c>
      <c r="C36" s="2082">
        <f>C37-C35</f>
        <v>272.75960402834471</v>
      </c>
      <c r="D36" s="2082">
        <f>D37-D35</f>
        <v>264.64814999191685</v>
      </c>
      <c r="E36" s="2082">
        <f>E37-E35</f>
        <v>252.07301576055215</v>
      </c>
      <c r="F36" s="2082">
        <f>F37-F35</f>
        <v>246.95489549876402</v>
      </c>
      <c r="G36" s="2086">
        <f>G37-G35</f>
        <v>239.03420575247355</v>
      </c>
    </row>
    <row r="37" spans="1:7" ht="38.25" customHeight="1" x14ac:dyDescent="0.25">
      <c r="A37" s="636"/>
      <c r="B37" s="908" t="s">
        <v>146</v>
      </c>
      <c r="C37" s="2087">
        <v>4048.2798994311706</v>
      </c>
      <c r="D37" s="2087">
        <v>4052.7708061766425</v>
      </c>
      <c r="E37" s="2087">
        <v>4066.0948806894548</v>
      </c>
      <c r="F37" s="2087">
        <v>4143.2003702981974</v>
      </c>
      <c r="G37" s="2088">
        <v>4196.4710130738213</v>
      </c>
    </row>
    <row r="38" spans="1:7" ht="34.5" customHeight="1" x14ac:dyDescent="0.25">
      <c r="A38" s="636"/>
      <c r="B38" s="907" t="s">
        <v>353</v>
      </c>
      <c r="C38" s="2089">
        <v>1523.0676805473524</v>
      </c>
      <c r="D38" s="2089">
        <v>1603.6728380116824</v>
      </c>
      <c r="E38" s="2089">
        <v>1632.7412935281923</v>
      </c>
      <c r="F38" s="2089">
        <v>1643.9325552542712</v>
      </c>
      <c r="G38" s="2090">
        <v>1682.99651859759</v>
      </c>
    </row>
    <row r="39" spans="1:7" ht="36" customHeight="1" x14ac:dyDescent="0.25">
      <c r="A39" s="636"/>
      <c r="B39" s="907" t="s">
        <v>354</v>
      </c>
      <c r="C39" s="2089">
        <v>2525.2122188838175</v>
      </c>
      <c r="D39" s="2089">
        <v>2449.0979681649587</v>
      </c>
      <c r="E39" s="2089">
        <v>2433.3535871612635</v>
      </c>
      <c r="F39" s="2089">
        <v>2499.2678150439269</v>
      </c>
      <c r="G39" s="2090">
        <v>2513.4744944762301</v>
      </c>
    </row>
    <row r="40" spans="1:7" ht="26.25" customHeight="1" x14ac:dyDescent="0.25">
      <c r="A40" s="636"/>
      <c r="B40" s="907" t="s">
        <v>355</v>
      </c>
      <c r="C40" s="2089">
        <v>44.320321260163126</v>
      </c>
      <c r="D40" s="2089">
        <v>40.833133572114988</v>
      </c>
      <c r="E40" s="2089">
        <v>34.466294329475986</v>
      </c>
      <c r="F40" s="2089">
        <v>33.122426301936422</v>
      </c>
      <c r="G40" s="2090">
        <v>33.946700270746085</v>
      </c>
    </row>
    <row r="41" spans="1:7" ht="21" x14ac:dyDescent="0.25">
      <c r="A41" s="2872" t="s">
        <v>2911</v>
      </c>
      <c r="B41" s="2873"/>
      <c r="C41" s="2873"/>
      <c r="D41" s="2873"/>
      <c r="E41" s="2873"/>
      <c r="F41" s="2873"/>
      <c r="G41" s="2874"/>
    </row>
    <row r="42" spans="1:7" ht="72" customHeight="1" x14ac:dyDescent="0.25">
      <c r="A42" s="2875" t="s">
        <v>3022</v>
      </c>
      <c r="B42" s="2876"/>
      <c r="C42" s="2876"/>
      <c r="D42" s="2876"/>
      <c r="E42" s="2876"/>
      <c r="F42" s="2876"/>
      <c r="G42" s="2877"/>
    </row>
    <row r="43" spans="1:7" ht="44.25" customHeight="1" thickBot="1" x14ac:dyDescent="0.3">
      <c r="A43" s="2861" t="s">
        <v>2390</v>
      </c>
      <c r="B43" s="2862"/>
      <c r="C43" s="2862"/>
      <c r="D43" s="2862"/>
      <c r="E43" s="2862"/>
      <c r="F43" s="2862"/>
      <c r="G43" s="2863"/>
    </row>
    <row r="64" ht="1.5" customHeight="1" x14ac:dyDescent="0.25"/>
  </sheetData>
  <mergeCells count="5">
    <mergeCell ref="A2:G2"/>
    <mergeCell ref="A3:G3"/>
    <mergeCell ref="A41:G41"/>
    <mergeCell ref="A42:G42"/>
    <mergeCell ref="A43:G43"/>
  </mergeCells>
  <pageMargins left="0.70866141732283472" right="0.70866141732283472" top="0.74803149606299213" bottom="0.74803149606299213" header="0.31496062992125984" footer="0.31496062992125984"/>
  <pageSetup paperSize="9" scale="58" orientation="portrait" horizontalDpi="300" verticalDpi="300"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B5B33-E29A-4252-A21F-59BAF54F0893}">
  <sheetPr>
    <tabColor theme="0"/>
    <pageSetUpPr fitToPage="1"/>
  </sheetPr>
  <dimension ref="A1:G49"/>
  <sheetViews>
    <sheetView showGridLines="0" view="pageBreakPreview" topLeftCell="A12" zoomScale="60" zoomScaleNormal="80" zoomScalePageLayoutView="70" workbookViewId="0">
      <selection activeCell="B81" sqref="B81"/>
    </sheetView>
  </sheetViews>
  <sheetFormatPr defaultColWidth="9.140625" defaultRowHeight="15.75" x14ac:dyDescent="0.25"/>
  <cols>
    <col min="1" max="1" width="15" style="390" customWidth="1"/>
    <col min="2" max="2" width="43.42578125" style="390" customWidth="1"/>
    <col min="3" max="3" width="16.5703125" style="390" customWidth="1"/>
    <col min="4" max="5" width="18.140625" style="390" customWidth="1"/>
    <col min="6" max="6" width="17.42578125" style="390" customWidth="1"/>
    <col min="7" max="7" width="23.5703125" style="390" customWidth="1"/>
    <col min="8" max="9" width="9.140625" style="390"/>
    <col min="10" max="10" width="36.28515625" style="390" customWidth="1"/>
    <col min="11" max="16384" width="9.140625" style="390"/>
  </cols>
  <sheetData>
    <row r="1" spans="1:7" ht="16.5" thickBot="1" x14ac:dyDescent="0.3"/>
    <row r="2" spans="1:7" ht="26.25" customHeight="1" x14ac:dyDescent="0.25">
      <c r="A2" s="2864" t="s">
        <v>2930</v>
      </c>
      <c r="B2" s="2865"/>
      <c r="C2" s="2866"/>
      <c r="D2" s="2866"/>
      <c r="E2" s="2866"/>
      <c r="F2" s="2866"/>
      <c r="G2" s="2867"/>
    </row>
    <row r="3" spans="1:7" ht="26.25" customHeight="1" x14ac:dyDescent="0.25">
      <c r="A3" s="2868" t="s">
        <v>2918</v>
      </c>
      <c r="B3" s="2869"/>
      <c r="C3" s="2870"/>
      <c r="D3" s="2870"/>
      <c r="E3" s="2870"/>
      <c r="F3" s="2870"/>
      <c r="G3" s="2871"/>
    </row>
    <row r="4" spans="1:7" ht="27.75" customHeight="1" x14ac:dyDescent="0.25">
      <c r="A4" s="634" t="s">
        <v>349</v>
      </c>
      <c r="B4" s="630" t="s">
        <v>116</v>
      </c>
      <c r="C4" s="38">
        <v>2021</v>
      </c>
      <c r="D4" s="38">
        <v>2022</v>
      </c>
      <c r="E4" s="38">
        <v>2023</v>
      </c>
      <c r="F4" s="38">
        <v>2024</v>
      </c>
      <c r="G4" s="38">
        <v>2025</v>
      </c>
    </row>
    <row r="5" spans="1:7" ht="24.95" customHeight="1" x14ac:dyDescent="0.25">
      <c r="A5" s="635">
        <v>1</v>
      </c>
      <c r="B5" s="907" t="s">
        <v>2919</v>
      </c>
      <c r="C5" s="2091">
        <v>94.4998376020812</v>
      </c>
      <c r="D5" s="2091">
        <v>104.51757499994167</v>
      </c>
      <c r="E5" s="2091">
        <v>114.45804267752763</v>
      </c>
      <c r="F5" s="2091">
        <v>115.94180878863867</v>
      </c>
      <c r="G5" s="2093">
        <v>147.01169840053615</v>
      </c>
    </row>
    <row r="6" spans="1:7" ht="24.95" customHeight="1" x14ac:dyDescent="0.25">
      <c r="A6" s="635">
        <v>2</v>
      </c>
      <c r="B6" s="907" t="s">
        <v>166</v>
      </c>
      <c r="C6" s="2091">
        <v>106.78557454082767</v>
      </c>
      <c r="D6" s="2091">
        <v>110.53373761390981</v>
      </c>
      <c r="E6" s="2091">
        <v>108.36440622402229</v>
      </c>
      <c r="F6" s="2091">
        <v>107.21235290905292</v>
      </c>
      <c r="G6" s="2093">
        <v>110.95519901289003</v>
      </c>
    </row>
    <row r="7" spans="1:7" ht="24.95" customHeight="1" x14ac:dyDescent="0.25">
      <c r="A7" s="635">
        <v>3</v>
      </c>
      <c r="B7" s="907" t="s">
        <v>204</v>
      </c>
      <c r="C7" s="2091">
        <v>108.50436480036922</v>
      </c>
      <c r="D7" s="2091">
        <v>107.44953489936445</v>
      </c>
      <c r="E7" s="2091">
        <v>107.39635759404061</v>
      </c>
      <c r="F7" s="2091">
        <v>106.81103271164321</v>
      </c>
      <c r="G7" s="2093">
        <v>104.79783378120366</v>
      </c>
    </row>
    <row r="8" spans="1:7" ht="24.95" customHeight="1" x14ac:dyDescent="0.25">
      <c r="A8" s="635">
        <v>4</v>
      </c>
      <c r="B8" s="907" t="s">
        <v>134</v>
      </c>
      <c r="C8" s="2091">
        <v>39.517326242639236</v>
      </c>
      <c r="D8" s="2091">
        <v>43.435055518167601</v>
      </c>
      <c r="E8" s="2091">
        <v>42.072391380805179</v>
      </c>
      <c r="F8" s="2091">
        <v>44.332368351727879</v>
      </c>
      <c r="G8" s="2093">
        <v>42.563054804065921</v>
      </c>
    </row>
    <row r="9" spans="1:7" ht="24.95" customHeight="1" x14ac:dyDescent="0.25">
      <c r="A9" s="635">
        <v>5</v>
      </c>
      <c r="B9" s="907" t="s">
        <v>178</v>
      </c>
      <c r="C9" s="2091">
        <v>32.857325267636249</v>
      </c>
      <c r="D9" s="2091">
        <v>36.589389946793872</v>
      </c>
      <c r="E9" s="2091">
        <v>35.482529445884708</v>
      </c>
      <c r="F9" s="2091">
        <v>36.038567712509007</v>
      </c>
      <c r="G9" s="2093">
        <v>36.504734999724121</v>
      </c>
    </row>
    <row r="10" spans="1:7" ht="24.95" customHeight="1" x14ac:dyDescent="0.25">
      <c r="A10" s="635">
        <v>6</v>
      </c>
      <c r="B10" s="907" t="s">
        <v>164</v>
      </c>
      <c r="C10" s="2091">
        <v>23.353783108252774</v>
      </c>
      <c r="D10" s="2091">
        <v>19.964305510899067</v>
      </c>
      <c r="E10" s="2091">
        <v>17.571841420517039</v>
      </c>
      <c r="F10" s="2091">
        <v>18.407308399110264</v>
      </c>
      <c r="G10" s="2093">
        <v>20.050568138958383</v>
      </c>
    </row>
    <row r="11" spans="1:7" ht="24.95" customHeight="1" x14ac:dyDescent="0.25">
      <c r="A11" s="635">
        <v>7</v>
      </c>
      <c r="B11" s="907" t="s">
        <v>171</v>
      </c>
      <c r="C11" s="2091">
        <v>14.094380701531815</v>
      </c>
      <c r="D11" s="2091">
        <v>15.328214883934804</v>
      </c>
      <c r="E11" s="2091">
        <v>15.311993090726547</v>
      </c>
      <c r="F11" s="2091">
        <v>15.950407298135381</v>
      </c>
      <c r="G11" s="2093">
        <v>15.276076963058369</v>
      </c>
    </row>
    <row r="12" spans="1:7" ht="24.95" customHeight="1" x14ac:dyDescent="0.25">
      <c r="A12" s="635">
        <v>8</v>
      </c>
      <c r="B12" s="907" t="s">
        <v>145</v>
      </c>
      <c r="C12" s="2091">
        <v>14.644425603154898</v>
      </c>
      <c r="D12" s="2091">
        <v>15.599221540645772</v>
      </c>
      <c r="E12" s="2091">
        <v>16.108721012518163</v>
      </c>
      <c r="F12" s="2091">
        <v>16.648555760106408</v>
      </c>
      <c r="G12" s="2093">
        <v>15.261184040275463</v>
      </c>
    </row>
    <row r="13" spans="1:7" ht="24.95" customHeight="1" x14ac:dyDescent="0.25">
      <c r="A13" s="635">
        <v>9</v>
      </c>
      <c r="B13" s="907" t="s">
        <v>167</v>
      </c>
      <c r="C13" s="2091">
        <v>15.572710618594964</v>
      </c>
      <c r="D13" s="2091">
        <v>14.332492592712564</v>
      </c>
      <c r="E13" s="2091">
        <v>17.750895443497889</v>
      </c>
      <c r="F13" s="2091">
        <v>15.756284857257407</v>
      </c>
      <c r="G13" s="2093">
        <v>13.140734748391424</v>
      </c>
    </row>
    <row r="14" spans="1:7" ht="24.95" customHeight="1" x14ac:dyDescent="0.25">
      <c r="A14" s="635">
        <v>10</v>
      </c>
      <c r="B14" s="907" t="s">
        <v>173</v>
      </c>
      <c r="C14" s="2091">
        <v>5.3992166915046385</v>
      </c>
      <c r="D14" s="2091">
        <v>6.3150698601271804</v>
      </c>
      <c r="E14" s="2091">
        <v>9.2065575972898763</v>
      </c>
      <c r="F14" s="2091">
        <v>11.030123580115841</v>
      </c>
      <c r="G14" s="2093">
        <v>12.8564063386781</v>
      </c>
    </row>
    <row r="15" spans="1:7" ht="23.25" x14ac:dyDescent="0.25">
      <c r="A15" s="635">
        <v>11</v>
      </c>
      <c r="B15" s="907" t="s">
        <v>2920</v>
      </c>
      <c r="C15" s="2091">
        <v>11.504527121419153</v>
      </c>
      <c r="D15" s="2091">
        <v>11.492035851153211</v>
      </c>
      <c r="E15" s="2091">
        <v>11.548746134817756</v>
      </c>
      <c r="F15" s="2091">
        <v>11.124297266351071</v>
      </c>
      <c r="G15" s="2093">
        <v>11.806412630363184</v>
      </c>
    </row>
    <row r="16" spans="1:7" ht="24.95" customHeight="1" x14ac:dyDescent="0.25">
      <c r="A16" s="635">
        <v>12</v>
      </c>
      <c r="B16" s="907" t="s">
        <v>351</v>
      </c>
      <c r="C16" s="2091">
        <v>9.1173749446336565</v>
      </c>
      <c r="D16" s="2091">
        <v>10.509836881627791</v>
      </c>
      <c r="E16" s="2091">
        <v>10.473787494617776</v>
      </c>
      <c r="F16" s="2091">
        <v>10.165537487475621</v>
      </c>
      <c r="G16" s="2093">
        <v>10.719342324143367</v>
      </c>
    </row>
    <row r="17" spans="1:7" ht="24.95" customHeight="1" x14ac:dyDescent="0.25">
      <c r="A17" s="635">
        <v>13</v>
      </c>
      <c r="B17" s="907" t="s">
        <v>162</v>
      </c>
      <c r="C17" s="2091">
        <v>8.7514465562696806</v>
      </c>
      <c r="D17" s="2091">
        <v>7.4731157428936736</v>
      </c>
      <c r="E17" s="2091">
        <v>7.6921687394971112</v>
      </c>
      <c r="F17" s="2091">
        <v>8.6348197017426322</v>
      </c>
      <c r="G17" s="2093">
        <v>6.9691388721251704</v>
      </c>
    </row>
    <row r="18" spans="1:7" ht="24.95" customHeight="1" x14ac:dyDescent="0.25">
      <c r="A18" s="635">
        <v>14</v>
      </c>
      <c r="B18" s="907" t="s">
        <v>168</v>
      </c>
      <c r="C18" s="2091">
        <v>4.6753571665765437</v>
      </c>
      <c r="D18" s="2091">
        <v>4.1992747049376886</v>
      </c>
      <c r="E18" s="2091">
        <v>4.9493366021663547</v>
      </c>
      <c r="F18" s="2091">
        <v>4.9212881642314859</v>
      </c>
      <c r="G18" s="2093">
        <v>6.6618895310291739</v>
      </c>
    </row>
    <row r="19" spans="1:7" ht="24.95" customHeight="1" x14ac:dyDescent="0.25">
      <c r="A19" s="635">
        <v>15</v>
      </c>
      <c r="B19" s="907" t="s">
        <v>2921</v>
      </c>
      <c r="C19" s="2091">
        <v>7.4611286180784759</v>
      </c>
      <c r="D19" s="2091">
        <v>6.4814049168073176</v>
      </c>
      <c r="E19" s="2091">
        <v>6.1697251939439033</v>
      </c>
      <c r="F19" s="2091">
        <v>6.4494739189701269</v>
      </c>
      <c r="G19" s="2093">
        <v>6.5456529370559977</v>
      </c>
    </row>
    <row r="20" spans="1:7" ht="24.95" customHeight="1" x14ac:dyDescent="0.25">
      <c r="A20" s="635">
        <v>16</v>
      </c>
      <c r="B20" s="907" t="s">
        <v>2922</v>
      </c>
      <c r="C20" s="2091">
        <v>3.4925650448840377</v>
      </c>
      <c r="D20" s="2091">
        <v>5.1293349415831466</v>
      </c>
      <c r="E20" s="2091">
        <v>5.3731348820598566</v>
      </c>
      <c r="F20" s="2091">
        <v>4.6504263457414901</v>
      </c>
      <c r="G20" s="2093">
        <v>5.227962399603908</v>
      </c>
    </row>
    <row r="21" spans="1:7" ht="24.95" customHeight="1" x14ac:dyDescent="0.25">
      <c r="A21" s="635">
        <v>17</v>
      </c>
      <c r="B21" s="907" t="s">
        <v>169</v>
      </c>
      <c r="C21" s="2091">
        <v>0.17005020212692307</v>
      </c>
      <c r="D21" s="2091">
        <v>3.7148124917127445</v>
      </c>
      <c r="E21" s="2091">
        <v>5.453521763535667</v>
      </c>
      <c r="F21" s="2091">
        <v>6.4159475049436399</v>
      </c>
      <c r="G21" s="2093">
        <v>4.3232945492271444</v>
      </c>
    </row>
    <row r="22" spans="1:7" ht="24.95" customHeight="1" x14ac:dyDescent="0.25">
      <c r="A22" s="635">
        <v>18</v>
      </c>
      <c r="B22" s="907" t="s">
        <v>2923</v>
      </c>
      <c r="C22" s="2091">
        <v>0.65762708164999994</v>
      </c>
      <c r="D22" s="2091">
        <v>0.83978085020000004</v>
      </c>
      <c r="E22" s="2091">
        <v>1.0192692764960001</v>
      </c>
      <c r="F22" s="2091">
        <v>0.36820336918372087</v>
      </c>
      <c r="G22" s="2093">
        <v>3.7966825281450567</v>
      </c>
    </row>
    <row r="23" spans="1:7" ht="24.95" customHeight="1" x14ac:dyDescent="0.25">
      <c r="A23" s="635">
        <v>19</v>
      </c>
      <c r="B23" s="907" t="s">
        <v>2924</v>
      </c>
      <c r="C23" s="2091">
        <v>0.98612044708000002</v>
      </c>
      <c r="D23" s="2091">
        <v>1.275853782924</v>
      </c>
      <c r="E23" s="2091">
        <v>1.5192194334</v>
      </c>
      <c r="F23" s="2091">
        <v>1.3208763156519132</v>
      </c>
      <c r="G23" s="2093">
        <v>2.5374321260390924</v>
      </c>
    </row>
    <row r="24" spans="1:7" ht="24.95" customHeight="1" x14ac:dyDescent="0.25">
      <c r="A24" s="635">
        <v>20</v>
      </c>
      <c r="B24" s="907" t="s">
        <v>2925</v>
      </c>
      <c r="C24" s="2091">
        <v>4.0577541193845112</v>
      </c>
      <c r="D24" s="2091">
        <v>4.1851864427239969</v>
      </c>
      <c r="E24" s="2091">
        <v>3.7524573587189161</v>
      </c>
      <c r="F24" s="2091">
        <v>1.9606599353032912</v>
      </c>
      <c r="G24" s="2093">
        <v>0.92876844018960814</v>
      </c>
    </row>
    <row r="25" spans="1:7" ht="24.95" customHeight="1" x14ac:dyDescent="0.25">
      <c r="A25" s="635">
        <v>21</v>
      </c>
      <c r="B25" s="907" t="s">
        <v>175</v>
      </c>
      <c r="C25" s="2091">
        <v>9.0572634624646291</v>
      </c>
      <c r="D25" s="2091">
        <v>9.1755769942335021</v>
      </c>
      <c r="E25" s="2091">
        <v>4.8847890704871437</v>
      </c>
      <c r="F25" s="2091">
        <v>0.89650230538934761</v>
      </c>
      <c r="G25" s="2093">
        <v>0.56174561249066901</v>
      </c>
    </row>
    <row r="26" spans="1:7" ht="38.25" customHeight="1" x14ac:dyDescent="0.25">
      <c r="A26" s="636"/>
      <c r="B26" s="908" t="s">
        <v>146</v>
      </c>
      <c r="C26" s="2092">
        <f>SUM(C5:C25)</f>
        <v>515.16015994116026</v>
      </c>
      <c r="D26" s="2092">
        <f>SUM(D5:D25)</f>
        <v>538.54081096729385</v>
      </c>
      <c r="E26" s="2092">
        <f>SUM(E5:E25)</f>
        <v>546.55989183657061</v>
      </c>
      <c r="F26" s="2092">
        <f>SUM(F5:F25)</f>
        <v>545.03684268328141</v>
      </c>
      <c r="G26" s="2092">
        <f>SUM(G5:G25)</f>
        <v>578.49581317819411</v>
      </c>
    </row>
    <row r="27" spans="1:7" ht="21" x14ac:dyDescent="0.25">
      <c r="A27" s="2872" t="s">
        <v>2911</v>
      </c>
      <c r="B27" s="2873"/>
      <c r="C27" s="2873"/>
      <c r="D27" s="2873"/>
      <c r="E27" s="2873"/>
      <c r="F27" s="2873"/>
      <c r="G27" s="2874"/>
    </row>
    <row r="28" spans="1:7" ht="27.75" customHeight="1" thickBot="1" x14ac:dyDescent="0.3">
      <c r="A28" s="2861" t="s">
        <v>2926</v>
      </c>
      <c r="B28" s="2862"/>
      <c r="C28" s="2862"/>
      <c r="D28" s="2862"/>
      <c r="E28" s="2862"/>
      <c r="F28" s="2862"/>
      <c r="G28" s="2863"/>
    </row>
    <row r="49" ht="1.5" customHeight="1" x14ac:dyDescent="0.25"/>
  </sheetData>
  <mergeCells count="4">
    <mergeCell ref="A2:G2"/>
    <mergeCell ref="A3:G3"/>
    <mergeCell ref="A27:G27"/>
    <mergeCell ref="A28:G28"/>
  </mergeCells>
  <pageMargins left="0.70866141732283472" right="0.70866141732283472" top="0.74803149606299213" bottom="0.74803149606299213" header="0.31496062992125984" footer="0.31496062992125984"/>
  <pageSetup paperSize="9" scale="58" orientation="portrait" horizontalDpi="300" verticalDpi="300"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DA8C50-9976-4605-A5FF-F8E7F85AB48F}">
  <sheetPr>
    <tabColor theme="0"/>
    <pageSetUpPr fitToPage="1"/>
  </sheetPr>
  <dimension ref="A1:G62"/>
  <sheetViews>
    <sheetView showGridLines="0" topLeftCell="A29" zoomScale="70" zoomScaleNormal="80" zoomScalePageLayoutView="80" workbookViewId="0">
      <selection activeCell="B81" sqref="B81"/>
    </sheetView>
  </sheetViews>
  <sheetFormatPr defaultColWidth="9.140625" defaultRowHeight="15.75" x14ac:dyDescent="0.25"/>
  <cols>
    <col min="1" max="1" width="15" style="390" customWidth="1"/>
    <col min="2" max="2" width="43.42578125" style="390" customWidth="1"/>
    <col min="3" max="3" width="16.5703125" style="390" customWidth="1"/>
    <col min="4" max="5" width="18.140625" style="390" customWidth="1"/>
    <col min="6" max="6" width="17.42578125" style="390" customWidth="1"/>
    <col min="7" max="7" width="23.5703125" style="390" customWidth="1"/>
    <col min="8" max="9" width="9.140625" style="390"/>
    <col min="10" max="10" width="36.28515625" style="390" customWidth="1"/>
    <col min="11" max="16384" width="9.140625" style="390"/>
  </cols>
  <sheetData>
    <row r="1" spans="1:7" ht="16.5" thickBot="1" x14ac:dyDescent="0.3"/>
    <row r="2" spans="1:7" ht="26.25" customHeight="1" x14ac:dyDescent="0.25">
      <c r="A2" s="2864" t="s">
        <v>356</v>
      </c>
      <c r="B2" s="2865"/>
      <c r="C2" s="2866"/>
      <c r="D2" s="2866"/>
      <c r="E2" s="2866"/>
      <c r="F2" s="2866"/>
      <c r="G2" s="2867"/>
    </row>
    <row r="3" spans="1:7" ht="26.25" customHeight="1" x14ac:dyDescent="0.25">
      <c r="A3" s="2868" t="s">
        <v>2918</v>
      </c>
      <c r="B3" s="2869"/>
      <c r="C3" s="2870"/>
      <c r="D3" s="2870"/>
      <c r="E3" s="2870"/>
      <c r="F3" s="2870"/>
      <c r="G3" s="2871"/>
    </row>
    <row r="4" spans="1:7" ht="27.75" customHeight="1" x14ac:dyDescent="0.25">
      <c r="A4" s="634" t="s">
        <v>349</v>
      </c>
      <c r="B4" s="630" t="s">
        <v>116</v>
      </c>
      <c r="C4" s="638">
        <v>2021</v>
      </c>
      <c r="D4" s="638">
        <v>2022</v>
      </c>
      <c r="E4" s="638">
        <v>2023</v>
      </c>
      <c r="F4" s="638">
        <v>2024</v>
      </c>
      <c r="G4" s="638">
        <v>2025</v>
      </c>
    </row>
    <row r="5" spans="1:7" ht="24.95" customHeight="1" x14ac:dyDescent="0.25">
      <c r="A5" s="635">
        <v>1</v>
      </c>
      <c r="B5" s="907" t="s">
        <v>129</v>
      </c>
      <c r="C5" s="2082">
        <v>836.42488409360408</v>
      </c>
      <c r="D5" s="2082">
        <v>880.40776233726717</v>
      </c>
      <c r="E5" s="2082">
        <v>888.24901656312795</v>
      </c>
      <c r="F5" s="2082">
        <v>901.52784401861811</v>
      </c>
      <c r="G5" s="2078">
        <v>913.44348655973045</v>
      </c>
    </row>
    <row r="6" spans="1:7" ht="24.95" customHeight="1" x14ac:dyDescent="0.25">
      <c r="A6" s="635">
        <v>2</v>
      </c>
      <c r="B6" s="907" t="s">
        <v>134</v>
      </c>
      <c r="C6" s="2082">
        <v>431.54448563815276</v>
      </c>
      <c r="D6" s="2082">
        <v>448.40501474926259</v>
      </c>
      <c r="E6" s="2082">
        <v>459.80825958702064</v>
      </c>
      <c r="F6" s="2082">
        <v>479.58001474926249</v>
      </c>
      <c r="G6" s="2078">
        <v>480.03982300884957</v>
      </c>
    </row>
    <row r="7" spans="1:7" ht="24.95" customHeight="1" x14ac:dyDescent="0.25">
      <c r="A7" s="635">
        <v>3</v>
      </c>
      <c r="B7" s="907" t="s">
        <v>125</v>
      </c>
      <c r="C7" s="2082">
        <v>380.26794493608651</v>
      </c>
      <c r="D7" s="2082">
        <v>377.64749262536873</v>
      </c>
      <c r="E7" s="2082">
        <v>403.79154375614542</v>
      </c>
      <c r="F7" s="2082">
        <v>433.26832645034403</v>
      </c>
      <c r="G7" s="2078">
        <v>441.93369297935095</v>
      </c>
    </row>
    <row r="8" spans="1:7" ht="24.95" customHeight="1" x14ac:dyDescent="0.25">
      <c r="A8" s="635">
        <v>4</v>
      </c>
      <c r="B8" s="907" t="s">
        <v>141</v>
      </c>
      <c r="C8" s="2082">
        <v>229.53144549999996</v>
      </c>
      <c r="D8" s="2082">
        <v>239.40129765649993</v>
      </c>
      <c r="E8" s="2082">
        <v>246.58333658619495</v>
      </c>
      <c r="F8" s="2082">
        <v>253.7342533471946</v>
      </c>
      <c r="G8" s="2078">
        <v>256.27159588066655</v>
      </c>
    </row>
    <row r="9" spans="1:7" ht="24.95" customHeight="1" x14ac:dyDescent="0.25">
      <c r="A9" s="635">
        <v>5</v>
      </c>
      <c r="B9" s="907" t="s">
        <v>142</v>
      </c>
      <c r="C9" s="2082">
        <v>114.46067628</v>
      </c>
      <c r="D9" s="2082">
        <v>116.74988980559999</v>
      </c>
      <c r="E9" s="2082">
        <v>117.3546975610213</v>
      </c>
      <c r="F9" s="2082">
        <v>123.56829974256807</v>
      </c>
      <c r="G9" s="2078">
        <v>133.75457220176358</v>
      </c>
    </row>
    <row r="10" spans="1:7" ht="24.95" customHeight="1" x14ac:dyDescent="0.25">
      <c r="A10" s="635">
        <v>6</v>
      </c>
      <c r="B10" s="907" t="s">
        <v>136</v>
      </c>
      <c r="C10" s="2082">
        <v>119.946</v>
      </c>
      <c r="D10" s="2082">
        <v>124.538825</v>
      </c>
      <c r="E10" s="2082">
        <v>124.715675</v>
      </c>
      <c r="F10" s="2082">
        <v>128.42779999999999</v>
      </c>
      <c r="G10" s="2078">
        <v>132.32445209927334</v>
      </c>
    </row>
    <row r="11" spans="1:7" ht="24.95" customHeight="1" x14ac:dyDescent="0.25">
      <c r="A11" s="635">
        <v>7</v>
      </c>
      <c r="B11" s="907" t="s">
        <v>140</v>
      </c>
      <c r="C11" s="2082">
        <v>93.903820700782745</v>
      </c>
      <c r="D11" s="2082">
        <v>93.312100737918954</v>
      </c>
      <c r="E11" s="2082">
        <v>100.68525219562029</v>
      </c>
      <c r="F11" s="2082">
        <v>100.37735913128225</v>
      </c>
      <c r="G11" s="2078">
        <v>99.668337579905753</v>
      </c>
    </row>
    <row r="12" spans="1:7" ht="24.95" customHeight="1" x14ac:dyDescent="0.25">
      <c r="A12" s="635">
        <v>8</v>
      </c>
      <c r="B12" s="907" t="s">
        <v>135</v>
      </c>
      <c r="C12" s="2082">
        <v>102.72983952175002</v>
      </c>
      <c r="D12" s="2082">
        <v>99.535838861149742</v>
      </c>
      <c r="E12" s="2082">
        <v>91.611169862649987</v>
      </c>
      <c r="F12" s="2082">
        <v>90.943838011849991</v>
      </c>
      <c r="G12" s="2078">
        <v>90.399673025324972</v>
      </c>
    </row>
    <row r="13" spans="1:7" ht="24.95" customHeight="1" x14ac:dyDescent="0.25">
      <c r="A13" s="635">
        <v>9</v>
      </c>
      <c r="B13" s="907" t="s">
        <v>137</v>
      </c>
      <c r="C13" s="2082">
        <v>91.738027777777774</v>
      </c>
      <c r="D13" s="2082">
        <v>75.581277777777785</v>
      </c>
      <c r="E13" s="2082">
        <v>72.797083333333347</v>
      </c>
      <c r="F13" s="2082">
        <v>75.763833333333338</v>
      </c>
      <c r="G13" s="2078">
        <v>78.51902646949452</v>
      </c>
    </row>
    <row r="14" spans="1:7" ht="24.95" customHeight="1" x14ac:dyDescent="0.25">
      <c r="A14" s="635">
        <v>10</v>
      </c>
      <c r="B14" s="907" t="s">
        <v>162</v>
      </c>
      <c r="C14" s="2082">
        <v>65.015829201451226</v>
      </c>
      <c r="D14" s="2082">
        <v>66.094848929740351</v>
      </c>
      <c r="E14" s="2082">
        <v>66.748295245107826</v>
      </c>
      <c r="F14" s="2082">
        <v>67.112976068176479</v>
      </c>
      <c r="G14" s="2078">
        <v>70.591873265411735</v>
      </c>
    </row>
    <row r="15" spans="1:7" ht="23.25" x14ac:dyDescent="0.25">
      <c r="A15" s="634">
        <v>11</v>
      </c>
      <c r="B15" s="908" t="s">
        <v>132</v>
      </c>
      <c r="C15" s="2083">
        <v>62.372707451440718</v>
      </c>
      <c r="D15" s="2083">
        <v>58.25085017771795</v>
      </c>
      <c r="E15" s="2083">
        <v>62.034424172448169</v>
      </c>
      <c r="F15" s="2083">
        <v>70.910523148356958</v>
      </c>
      <c r="G15" s="2076">
        <v>66.569107337912669</v>
      </c>
    </row>
    <row r="16" spans="1:7" ht="24.95" customHeight="1" x14ac:dyDescent="0.25">
      <c r="A16" s="635">
        <v>12</v>
      </c>
      <c r="B16" s="907" t="s">
        <v>138</v>
      </c>
      <c r="C16" s="2082">
        <v>61.946532511562758</v>
      </c>
      <c r="D16" s="2082">
        <v>62.033886881525078</v>
      </c>
      <c r="E16" s="2082">
        <v>59.409161046563419</v>
      </c>
      <c r="F16" s="2082">
        <v>63.374230495634471</v>
      </c>
      <c r="G16" s="2078">
        <v>62.957932326282773</v>
      </c>
    </row>
    <row r="17" spans="1:7" ht="24.95" customHeight="1" x14ac:dyDescent="0.25">
      <c r="A17" s="635">
        <v>13</v>
      </c>
      <c r="B17" s="907" t="s">
        <v>175</v>
      </c>
      <c r="C17" s="2082">
        <v>62.124842310199078</v>
      </c>
      <c r="D17" s="2082">
        <v>60.590863516155594</v>
      </c>
      <c r="E17" s="2082">
        <v>60.041250732254866</v>
      </c>
      <c r="F17" s="2082">
        <v>59.782089779661909</v>
      </c>
      <c r="G17" s="2078">
        <v>61.454576965024728</v>
      </c>
    </row>
    <row r="18" spans="1:7" ht="24.95" customHeight="1" x14ac:dyDescent="0.25">
      <c r="A18" s="635">
        <v>14</v>
      </c>
      <c r="B18" s="907" t="s">
        <v>144</v>
      </c>
      <c r="C18" s="2082">
        <v>76.953745800000007</v>
      </c>
      <c r="D18" s="2082">
        <v>70.502671800000002</v>
      </c>
      <c r="E18" s="2082">
        <v>63.42687269999999</v>
      </c>
      <c r="F18" s="2082">
        <v>61.690202999999997</v>
      </c>
      <c r="G18" s="2078">
        <v>61.161551999999993</v>
      </c>
    </row>
    <row r="19" spans="1:7" ht="24.95" customHeight="1" x14ac:dyDescent="0.25">
      <c r="A19" s="635">
        <v>15</v>
      </c>
      <c r="B19" s="907" t="s">
        <v>201</v>
      </c>
      <c r="C19" s="2082">
        <v>72.373674947840556</v>
      </c>
      <c r="D19" s="2082">
        <v>65.199017836126103</v>
      </c>
      <c r="E19" s="2082">
        <v>58.593881899007769</v>
      </c>
      <c r="F19" s="2082">
        <v>58.925791626549618</v>
      </c>
      <c r="G19" s="2078">
        <v>60.137639443194743</v>
      </c>
    </row>
    <row r="20" spans="1:7" ht="24.95" customHeight="1" x14ac:dyDescent="0.25">
      <c r="A20" s="635">
        <v>16</v>
      </c>
      <c r="B20" s="907" t="s">
        <v>2902</v>
      </c>
      <c r="C20" s="2082">
        <v>57.287569700000006</v>
      </c>
      <c r="D20" s="2082">
        <v>50.939526625000013</v>
      </c>
      <c r="E20" s="2082">
        <v>48.076879300000002</v>
      </c>
      <c r="F20" s="2082">
        <v>50.963464125000016</v>
      </c>
      <c r="G20" s="2078">
        <v>56.448273439913336</v>
      </c>
    </row>
    <row r="21" spans="1:7" ht="24.95" customHeight="1" x14ac:dyDescent="0.25">
      <c r="A21" s="635">
        <v>17</v>
      </c>
      <c r="B21" s="907" t="s">
        <v>167</v>
      </c>
      <c r="C21" s="2082">
        <v>48.152912500000006</v>
      </c>
      <c r="D21" s="2082">
        <v>50.338750000000005</v>
      </c>
      <c r="E21" s="2082">
        <v>51.137625</v>
      </c>
      <c r="F21" s="2082">
        <v>52.754624999999997</v>
      </c>
      <c r="G21" s="2078">
        <v>54.034749999999995</v>
      </c>
    </row>
    <row r="22" spans="1:7" ht="24.95" customHeight="1" x14ac:dyDescent="0.25">
      <c r="A22" s="635">
        <v>18</v>
      </c>
      <c r="B22" s="907" t="s">
        <v>145</v>
      </c>
      <c r="C22" s="2082">
        <v>40.775861111111112</v>
      </c>
      <c r="D22" s="2082">
        <v>39.832222222222221</v>
      </c>
      <c r="E22" s="2082">
        <v>43.447916666666671</v>
      </c>
      <c r="F22" s="2082">
        <v>47.271694444444435</v>
      </c>
      <c r="G22" s="2078">
        <v>48.308416666666666</v>
      </c>
    </row>
    <row r="23" spans="1:7" ht="24.95" customHeight="1" x14ac:dyDescent="0.25">
      <c r="A23" s="635">
        <v>19</v>
      </c>
      <c r="B23" s="907" t="s">
        <v>203</v>
      </c>
      <c r="C23" s="2082">
        <v>47.013728401713472</v>
      </c>
      <c r="D23" s="2082">
        <v>44.318060698134005</v>
      </c>
      <c r="E23" s="2082">
        <v>47.174184812640824</v>
      </c>
      <c r="F23" s="2082">
        <v>49.298539771997881</v>
      </c>
      <c r="G23" s="2078">
        <v>47.302549941382701</v>
      </c>
    </row>
    <row r="24" spans="1:7" ht="24.95" customHeight="1" x14ac:dyDescent="0.25">
      <c r="A24" s="635">
        <v>20</v>
      </c>
      <c r="B24" s="907" t="s">
        <v>178</v>
      </c>
      <c r="C24" s="2082">
        <v>51.351717023362575</v>
      </c>
      <c r="D24" s="2082">
        <v>51.94529799412701</v>
      </c>
      <c r="E24" s="2082">
        <v>43.835836710209321</v>
      </c>
      <c r="F24" s="2082">
        <v>46.578367429298154</v>
      </c>
      <c r="G24" s="2078">
        <v>46.153264023962571</v>
      </c>
    </row>
    <row r="25" spans="1:7" ht="24.95" customHeight="1" x14ac:dyDescent="0.25">
      <c r="A25" s="635">
        <v>21</v>
      </c>
      <c r="B25" s="907" t="s">
        <v>343</v>
      </c>
      <c r="C25" s="2082">
        <v>49.103494346116022</v>
      </c>
      <c r="D25" s="2082">
        <v>45.961220501474919</v>
      </c>
      <c r="E25" s="2082">
        <v>45.01121312684365</v>
      </c>
      <c r="F25" s="2082">
        <v>44.535641592920342</v>
      </c>
      <c r="G25" s="2078">
        <v>44.480764447978999</v>
      </c>
    </row>
    <row r="26" spans="1:7" ht="24.95" customHeight="1" x14ac:dyDescent="0.25">
      <c r="A26" s="635">
        <v>22</v>
      </c>
      <c r="B26" s="907" t="s">
        <v>166</v>
      </c>
      <c r="C26" s="2082">
        <v>40.634192923950387</v>
      </c>
      <c r="D26" s="2082">
        <v>40.38628812638413</v>
      </c>
      <c r="E26" s="2082">
        <v>43.733044381458313</v>
      </c>
      <c r="F26" s="2082">
        <v>45.353996823435182</v>
      </c>
      <c r="G26" s="2078">
        <v>43.816575290050793</v>
      </c>
    </row>
    <row r="27" spans="1:7" ht="24.95" customHeight="1" x14ac:dyDescent="0.25">
      <c r="A27" s="635">
        <v>23</v>
      </c>
      <c r="B27" s="907" t="s">
        <v>179</v>
      </c>
      <c r="C27" s="2082">
        <v>45.934069773209842</v>
      </c>
      <c r="D27" s="2082">
        <v>45.853776372007047</v>
      </c>
      <c r="E27" s="2082">
        <v>44.947532848874161</v>
      </c>
      <c r="F27" s="2082">
        <v>44.504255188755813</v>
      </c>
      <c r="G27" s="2078">
        <v>43.628770063182031</v>
      </c>
    </row>
    <row r="28" spans="1:7" ht="24.95" customHeight="1" x14ac:dyDescent="0.25">
      <c r="A28" s="635">
        <v>24</v>
      </c>
      <c r="B28" s="907" t="s">
        <v>204</v>
      </c>
      <c r="C28" s="2082">
        <v>39.575711320580254</v>
      </c>
      <c r="D28" s="2082">
        <v>43.226858807320582</v>
      </c>
      <c r="E28" s="2082">
        <v>38.796741902436921</v>
      </c>
      <c r="F28" s="2082">
        <v>39.157089130529826</v>
      </c>
      <c r="G28" s="2078">
        <v>38.719413591033629</v>
      </c>
    </row>
    <row r="29" spans="1:7" ht="24.95" customHeight="1" x14ac:dyDescent="0.25">
      <c r="A29" s="635">
        <v>25</v>
      </c>
      <c r="B29" s="907" t="s">
        <v>205</v>
      </c>
      <c r="C29" s="2082">
        <v>34.473107840051618</v>
      </c>
      <c r="D29" s="2082">
        <v>33.018100799907742</v>
      </c>
      <c r="E29" s="2082">
        <v>32.656200100890871</v>
      </c>
      <c r="F29" s="2082">
        <v>35.42699388910264</v>
      </c>
      <c r="G29" s="2078">
        <v>38.558005382062866</v>
      </c>
    </row>
    <row r="30" spans="1:7" ht="24.95" customHeight="1" x14ac:dyDescent="0.25">
      <c r="A30" s="635">
        <v>26</v>
      </c>
      <c r="B30" s="907" t="s">
        <v>341</v>
      </c>
      <c r="C30" s="2082">
        <v>35.785607256210461</v>
      </c>
      <c r="D30" s="2082">
        <v>38.21454748517165</v>
      </c>
      <c r="E30" s="2082">
        <v>35.472783962865627</v>
      </c>
      <c r="F30" s="2082">
        <v>30.684061064712807</v>
      </c>
      <c r="G30" s="2078">
        <v>34.661567181835032</v>
      </c>
    </row>
    <row r="31" spans="1:7" ht="24.95" customHeight="1" x14ac:dyDescent="0.25">
      <c r="A31" s="635">
        <v>27</v>
      </c>
      <c r="B31" s="907" t="s">
        <v>350</v>
      </c>
      <c r="C31" s="2082">
        <v>44.89106364386101</v>
      </c>
      <c r="D31" s="2082">
        <v>38.161536554611018</v>
      </c>
      <c r="E31" s="2082">
        <v>37.773579724622763</v>
      </c>
      <c r="F31" s="2082">
        <v>37.048530024224512</v>
      </c>
      <c r="G31" s="2078">
        <v>34.057007798222514</v>
      </c>
    </row>
    <row r="32" spans="1:7" ht="24.95" customHeight="1" x14ac:dyDescent="0.25">
      <c r="A32" s="635">
        <v>28</v>
      </c>
      <c r="B32" s="907" t="s">
        <v>139</v>
      </c>
      <c r="C32" s="2082">
        <v>40.446450893661051</v>
      </c>
      <c r="D32" s="2082">
        <v>31.987619550679007</v>
      </c>
      <c r="E32" s="2082">
        <v>29.876070669859878</v>
      </c>
      <c r="F32" s="2082">
        <v>31.363873608311195</v>
      </c>
      <c r="G32" s="2078">
        <v>33.198454966698428</v>
      </c>
    </row>
    <row r="33" spans="1:7" ht="24.95" customHeight="1" x14ac:dyDescent="0.25">
      <c r="A33" s="635">
        <v>29</v>
      </c>
      <c r="B33" s="907" t="s">
        <v>171</v>
      </c>
      <c r="C33" s="2082">
        <v>28.454781278188161</v>
      </c>
      <c r="D33" s="2082">
        <v>29.164656495251165</v>
      </c>
      <c r="E33" s="2082">
        <v>30.224402799707832</v>
      </c>
      <c r="F33" s="2082">
        <v>31.905567621802895</v>
      </c>
      <c r="G33" s="2078">
        <v>32.881191774353162</v>
      </c>
    </row>
    <row r="34" spans="1:7" ht="24.95" customHeight="1" x14ac:dyDescent="0.25">
      <c r="A34" s="635">
        <v>30</v>
      </c>
      <c r="B34" s="907" t="s">
        <v>200</v>
      </c>
      <c r="C34" s="2082">
        <v>34.324297029000007</v>
      </c>
      <c r="D34" s="2082">
        <v>32.974156373000014</v>
      </c>
      <c r="E34" s="2082">
        <v>29.472507584999999</v>
      </c>
      <c r="F34" s="2082">
        <v>28.315892455000004</v>
      </c>
      <c r="G34" s="2078">
        <v>31.308102596250983</v>
      </c>
    </row>
    <row r="35" spans="1:7" ht="34.5" customHeight="1" x14ac:dyDescent="0.25">
      <c r="A35" s="635"/>
      <c r="B35" s="908" t="s">
        <v>352</v>
      </c>
      <c r="C35" s="2083">
        <f>SUM(C5:C34)</f>
        <v>3439.5390217116646</v>
      </c>
      <c r="D35" s="2083">
        <f>SUM(D5:D34)</f>
        <v>3454.5742572974004</v>
      </c>
      <c r="E35" s="2083">
        <f>SUM(E5:E34)</f>
        <v>3477.4864398325735</v>
      </c>
      <c r="F35" s="2083">
        <f>SUM(F5:F34)</f>
        <v>3584.1499750723679</v>
      </c>
      <c r="G35" s="2085">
        <f>SUM(G5:G34)</f>
        <v>3636.7844483057793</v>
      </c>
    </row>
    <row r="36" spans="1:7" ht="24.95" customHeight="1" x14ac:dyDescent="0.25">
      <c r="A36" s="635"/>
      <c r="B36" s="907" t="s">
        <v>346</v>
      </c>
      <c r="C36" s="2082">
        <f>C37-C35</f>
        <v>583.71838954774557</v>
      </c>
      <c r="D36" s="2082">
        <f>D37-D35</f>
        <v>549.38050305644674</v>
      </c>
      <c r="E36" s="2082">
        <f>E37-E35</f>
        <v>537.74017687289233</v>
      </c>
      <c r="F36" s="2082">
        <f>F37-F35</f>
        <v>547.09929596008897</v>
      </c>
      <c r="G36" s="2086">
        <f>G37-G35</f>
        <v>549.2505066685294</v>
      </c>
    </row>
    <row r="37" spans="1:7" ht="38.25" customHeight="1" x14ac:dyDescent="0.25">
      <c r="A37" s="636"/>
      <c r="B37" s="908" t="s">
        <v>146</v>
      </c>
      <c r="C37" s="2083">
        <v>4023.2574112594102</v>
      </c>
      <c r="D37" s="2083">
        <v>4003.9547603538472</v>
      </c>
      <c r="E37" s="2083">
        <v>4015.2266167054659</v>
      </c>
      <c r="F37" s="2083">
        <v>4131.2492710324568</v>
      </c>
      <c r="G37" s="2084">
        <v>4186.0349549743087</v>
      </c>
    </row>
    <row r="38" spans="1:7" ht="34.5" customHeight="1" x14ac:dyDescent="0.25">
      <c r="A38" s="636"/>
      <c r="B38" s="907" t="s">
        <v>353</v>
      </c>
      <c r="C38" s="2082">
        <v>1809.5554777307325</v>
      </c>
      <c r="D38" s="2082">
        <v>1794.0084228982601</v>
      </c>
      <c r="E38" s="2082">
        <v>1761.199457112119</v>
      </c>
      <c r="F38" s="2082">
        <v>1784.2368404368658</v>
      </c>
      <c r="G38" s="2078">
        <v>1811.2578555430659</v>
      </c>
    </row>
    <row r="39" spans="1:7" ht="36" customHeight="1" x14ac:dyDescent="0.25">
      <c r="A39" s="636"/>
      <c r="B39" s="2094" t="s">
        <v>2927</v>
      </c>
      <c r="C39" s="2082">
        <v>2213.7019335286768</v>
      </c>
      <c r="D39" s="2082">
        <v>2209.9463374555871</v>
      </c>
      <c r="E39" s="2082">
        <v>2254.0271595933455</v>
      </c>
      <c r="F39" s="2082">
        <v>2347.0124305955887</v>
      </c>
      <c r="G39" s="2078">
        <v>2374.7770994312441</v>
      </c>
    </row>
    <row r="40" spans="1:7" ht="26.25" customHeight="1" x14ac:dyDescent="0.25">
      <c r="A40" s="636"/>
      <c r="B40" s="2094" t="s">
        <v>2928</v>
      </c>
      <c r="C40" s="2082">
        <v>396.96152872295687</v>
      </c>
      <c r="D40" s="2082">
        <v>341.69007651933879</v>
      </c>
      <c r="E40" s="2082">
        <v>316.93861905538625</v>
      </c>
      <c r="F40" s="2082">
        <v>319.5242447524605</v>
      </c>
      <c r="G40" s="2078">
        <v>329.22379770645819</v>
      </c>
    </row>
    <row r="41" spans="1:7" ht="101.25" customHeight="1" x14ac:dyDescent="0.25">
      <c r="A41" s="2878" t="s">
        <v>3023</v>
      </c>
      <c r="B41" s="2878"/>
      <c r="C41" s="2878"/>
      <c r="D41" s="2878"/>
      <c r="E41" s="2878"/>
      <c r="F41" s="2878"/>
      <c r="G41" s="2878"/>
    </row>
    <row r="62" ht="1.5" customHeight="1" x14ac:dyDescent="0.25"/>
  </sheetData>
  <mergeCells count="3">
    <mergeCell ref="A2:G2"/>
    <mergeCell ref="A3:G3"/>
    <mergeCell ref="A41:G41"/>
  </mergeCells>
  <pageMargins left="0.70866141732283472" right="0.70866141732283472" top="0.74803149606299213" bottom="0.74803149606299213" header="0.31496062992125984" footer="0.31496062992125984"/>
  <pageSetup paperSize="9" scale="58" orientation="portrait" horizontalDpi="300" verticalDpi="300"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871649-BFC0-47FE-B4C6-0C6392A552D4}">
  <sheetPr>
    <tabColor theme="0"/>
  </sheetPr>
  <dimension ref="A1:K58"/>
  <sheetViews>
    <sheetView showGridLines="0" view="pageLayout" topLeftCell="A19" zoomScale="50" zoomScaleNormal="80" zoomScaleSheetLayoutView="100" zoomScalePageLayoutView="50" workbookViewId="0">
      <selection activeCell="B81" sqref="B81"/>
    </sheetView>
  </sheetViews>
  <sheetFormatPr defaultColWidth="9.140625" defaultRowHeight="15.75" x14ac:dyDescent="0.25"/>
  <cols>
    <col min="1" max="1" width="19.7109375" style="390" customWidth="1"/>
    <col min="2" max="2" width="36.28515625" style="390" customWidth="1"/>
    <col min="3" max="4" width="16.140625" style="390" customWidth="1"/>
    <col min="5" max="5" width="14.5703125" style="390" customWidth="1"/>
    <col min="6" max="6" width="16.42578125" style="390" customWidth="1"/>
    <col min="7" max="7" width="23.85546875" style="390" customWidth="1"/>
    <col min="8" max="9" width="9.140625" style="390"/>
    <col min="10" max="11" width="0" style="390" hidden="1" customWidth="1"/>
    <col min="12" max="16384" width="9.140625" style="390"/>
  </cols>
  <sheetData>
    <row r="1" spans="1:11" ht="16.5" hidden="1" thickBot="1" x14ac:dyDescent="0.3"/>
    <row r="2" spans="1:11" ht="30" customHeight="1" x14ac:dyDescent="0.25">
      <c r="A2" s="2864" t="s">
        <v>2929</v>
      </c>
      <c r="B2" s="2865"/>
      <c r="C2" s="2866"/>
      <c r="D2" s="2866"/>
      <c r="E2" s="2866"/>
      <c r="F2" s="2866"/>
      <c r="G2" s="2867"/>
    </row>
    <row r="3" spans="1:11" ht="30" customHeight="1" x14ac:dyDescent="0.25">
      <c r="A3" s="2879" t="s">
        <v>2918</v>
      </c>
      <c r="B3" s="2880"/>
      <c r="C3" s="2881"/>
      <c r="D3" s="2881"/>
      <c r="E3" s="2881"/>
      <c r="F3" s="2881"/>
      <c r="G3" s="2882"/>
    </row>
    <row r="4" spans="1:11" ht="30" customHeight="1" x14ac:dyDescent="0.3">
      <c r="A4" s="634" t="s">
        <v>349</v>
      </c>
      <c r="B4" s="630" t="s">
        <v>116</v>
      </c>
      <c r="C4" s="2095">
        <v>2021</v>
      </c>
      <c r="D4" s="2095">
        <v>2022</v>
      </c>
      <c r="E4" s="2095">
        <v>2023</v>
      </c>
      <c r="F4" s="2095">
        <v>2024</v>
      </c>
      <c r="G4" s="2095">
        <v>2025</v>
      </c>
      <c r="J4" s="405"/>
      <c r="K4" s="406"/>
    </row>
    <row r="5" spans="1:11" ht="30" customHeight="1" x14ac:dyDescent="0.3">
      <c r="A5" s="635">
        <v>1</v>
      </c>
      <c r="B5" s="907" t="s">
        <v>125</v>
      </c>
      <c r="C5" s="2091">
        <v>110.12991072179643</v>
      </c>
      <c r="D5" s="2091">
        <v>87.035412996591631</v>
      </c>
      <c r="E5" s="2091">
        <v>97.813466346695606</v>
      </c>
      <c r="F5" s="2091">
        <v>105.18859696417411</v>
      </c>
      <c r="G5" s="2096">
        <v>90.775648620824526</v>
      </c>
      <c r="J5" s="407" t="s">
        <v>129</v>
      </c>
      <c r="K5" s="408">
        <v>826.7174470756288</v>
      </c>
    </row>
    <row r="6" spans="1:11" ht="30" customHeight="1" x14ac:dyDescent="0.3">
      <c r="A6" s="635">
        <v>2</v>
      </c>
      <c r="B6" s="907" t="s">
        <v>135</v>
      </c>
      <c r="C6" s="2091">
        <v>100.42621745000001</v>
      </c>
      <c r="D6" s="2091">
        <v>97.300145945999745</v>
      </c>
      <c r="E6" s="2091">
        <v>89.519178012499992</v>
      </c>
      <c r="F6" s="2091">
        <v>88.963372024999998</v>
      </c>
      <c r="G6" s="2096">
        <v>88.531221087500015</v>
      </c>
      <c r="J6" s="407" t="s">
        <v>134</v>
      </c>
      <c r="K6" s="408">
        <v>474.61408554572273</v>
      </c>
    </row>
    <row r="7" spans="1:11" ht="30" customHeight="1" x14ac:dyDescent="0.3">
      <c r="A7" s="635">
        <v>3</v>
      </c>
      <c r="B7" s="907" t="s">
        <v>138</v>
      </c>
      <c r="C7" s="2091">
        <v>64.142600806184305</v>
      </c>
      <c r="D7" s="2091">
        <v>63.790578511137745</v>
      </c>
      <c r="E7" s="2091">
        <v>60.71312284266611</v>
      </c>
      <c r="F7" s="2091">
        <v>63.555878091172609</v>
      </c>
      <c r="G7" s="2096">
        <v>63.06357524118323</v>
      </c>
      <c r="I7" s="407"/>
      <c r="J7" s="407" t="s">
        <v>125</v>
      </c>
      <c r="K7" s="408">
        <v>378.6944137168141</v>
      </c>
    </row>
    <row r="8" spans="1:11" ht="30" customHeight="1" x14ac:dyDescent="0.3">
      <c r="A8" s="635">
        <v>4</v>
      </c>
      <c r="B8" s="907" t="s">
        <v>2912</v>
      </c>
      <c r="C8" s="2091">
        <v>25.54106099516784</v>
      </c>
      <c r="D8" s="2091">
        <v>39.38678848305566</v>
      </c>
      <c r="E8" s="2091">
        <v>50.989424801980874</v>
      </c>
      <c r="F8" s="2091">
        <v>44.981149613193807</v>
      </c>
      <c r="G8" s="2096">
        <v>57.270131194852787</v>
      </c>
      <c r="I8" s="407"/>
      <c r="J8" s="407" t="s">
        <v>141</v>
      </c>
      <c r="K8" s="408">
        <v>241.11884781837452</v>
      </c>
    </row>
    <row r="9" spans="1:11" ht="30" customHeight="1" x14ac:dyDescent="0.3">
      <c r="A9" s="634">
        <v>5</v>
      </c>
      <c r="B9" s="908" t="s">
        <v>132</v>
      </c>
      <c r="C9" s="2092">
        <v>33.833894068233903</v>
      </c>
      <c r="D9" s="2092">
        <v>28.448923185490091</v>
      </c>
      <c r="E9" s="2092">
        <v>30.448935636971427</v>
      </c>
      <c r="F9" s="2092">
        <v>38.539338700112005</v>
      </c>
      <c r="G9" s="2097">
        <v>35.403788483415923</v>
      </c>
      <c r="I9" s="407"/>
      <c r="J9" s="407" t="s">
        <v>136</v>
      </c>
      <c r="K9" s="408">
        <v>119.16788974871297</v>
      </c>
    </row>
    <row r="10" spans="1:11" ht="30" customHeight="1" x14ac:dyDescent="0.3">
      <c r="A10" s="635">
        <v>6</v>
      </c>
      <c r="B10" s="907" t="s">
        <v>207</v>
      </c>
      <c r="C10" s="2091">
        <v>26.741780239723344</v>
      </c>
      <c r="D10" s="2091">
        <v>27.524826161871673</v>
      </c>
      <c r="E10" s="2091">
        <v>27.377715306758905</v>
      </c>
      <c r="F10" s="2091">
        <v>29.069440221722431</v>
      </c>
      <c r="G10" s="2096">
        <v>31.762097906220337</v>
      </c>
      <c r="I10" s="407"/>
      <c r="J10" s="407" t="s">
        <v>142</v>
      </c>
      <c r="K10" s="408">
        <v>117.28698420288887</v>
      </c>
    </row>
    <row r="11" spans="1:11" ht="30" customHeight="1" x14ac:dyDescent="0.3">
      <c r="A11" s="635">
        <v>7</v>
      </c>
      <c r="B11" s="907" t="s">
        <v>143</v>
      </c>
      <c r="C11" s="2091">
        <v>17.56394965114745</v>
      </c>
      <c r="D11" s="2091">
        <v>35.432665010676878</v>
      </c>
      <c r="E11" s="2091">
        <v>29.350214363336509</v>
      </c>
      <c r="F11" s="2091">
        <v>25.726129000250793</v>
      </c>
      <c r="G11" s="2096">
        <v>30.859538071956354</v>
      </c>
      <c r="I11" s="407"/>
      <c r="J11" s="407" t="s">
        <v>135</v>
      </c>
      <c r="K11" s="408">
        <v>103.62242264408519</v>
      </c>
    </row>
    <row r="12" spans="1:11" ht="30" customHeight="1" x14ac:dyDescent="0.3">
      <c r="A12" s="635">
        <v>8</v>
      </c>
      <c r="B12" s="907" t="s">
        <v>200</v>
      </c>
      <c r="C12" s="2091">
        <v>20.403400618100001</v>
      </c>
      <c r="D12" s="2091">
        <v>28.805694803419996</v>
      </c>
      <c r="E12" s="2091">
        <v>24.937009183800001</v>
      </c>
      <c r="F12" s="2091">
        <v>18.440449344899999</v>
      </c>
      <c r="G12" s="2096">
        <v>22.349917276320003</v>
      </c>
      <c r="I12" s="407"/>
      <c r="J12" s="407" t="s">
        <v>137</v>
      </c>
      <c r="K12" s="408">
        <v>90.530311004784693</v>
      </c>
    </row>
    <row r="13" spans="1:11" ht="30" customHeight="1" x14ac:dyDescent="0.3">
      <c r="A13" s="635">
        <v>9</v>
      </c>
      <c r="B13" s="907" t="s">
        <v>201</v>
      </c>
      <c r="C13" s="2091">
        <v>9.5108510079871316</v>
      </c>
      <c r="D13" s="2091">
        <v>14.655060324590226</v>
      </c>
      <c r="E13" s="2091">
        <v>16.326106712034775</v>
      </c>
      <c r="F13" s="2091">
        <v>14.462495497329003</v>
      </c>
      <c r="G13" s="2096">
        <v>20.164761376737012</v>
      </c>
      <c r="I13" s="407"/>
      <c r="J13" s="407" t="s">
        <v>140</v>
      </c>
      <c r="K13" s="408">
        <v>88.226060838451446</v>
      </c>
    </row>
    <row r="14" spans="1:11" ht="30" customHeight="1" x14ac:dyDescent="0.3">
      <c r="A14" s="635">
        <v>10</v>
      </c>
      <c r="B14" s="907" t="s">
        <v>202</v>
      </c>
      <c r="C14" s="2091">
        <v>13.908314073790285</v>
      </c>
      <c r="D14" s="2091">
        <v>15.098901030443885</v>
      </c>
      <c r="E14" s="2091">
        <v>14.753654043829588</v>
      </c>
      <c r="F14" s="2091">
        <v>12.423992981370869</v>
      </c>
      <c r="G14" s="2096">
        <v>16.302280909536048</v>
      </c>
      <c r="I14" s="407"/>
      <c r="J14" s="407" t="s">
        <v>144</v>
      </c>
      <c r="K14" s="408">
        <v>76.947547499999999</v>
      </c>
    </row>
    <row r="15" spans="1:11" ht="38.25" customHeight="1" x14ac:dyDescent="0.3">
      <c r="A15" s="635">
        <v>11</v>
      </c>
      <c r="B15" s="907" t="s">
        <v>2913</v>
      </c>
      <c r="C15" s="2091">
        <v>7.5779657232547146</v>
      </c>
      <c r="D15" s="2091">
        <v>6.9399969967592234</v>
      </c>
      <c r="E15" s="2091">
        <v>9.1538021517572759</v>
      </c>
      <c r="F15" s="2091">
        <v>11.621726638937984</v>
      </c>
      <c r="G15" s="2096">
        <v>14.965432662520184</v>
      </c>
      <c r="I15" s="407"/>
      <c r="J15" s="407" t="s">
        <v>201</v>
      </c>
      <c r="K15" s="408">
        <v>72.502588265239908</v>
      </c>
    </row>
    <row r="16" spans="1:11" ht="30" customHeight="1" x14ac:dyDescent="0.3">
      <c r="A16" s="635">
        <v>12</v>
      </c>
      <c r="B16" s="907" t="s">
        <v>2903</v>
      </c>
      <c r="C16" s="2091">
        <v>5.4007780761438173</v>
      </c>
      <c r="D16" s="2091">
        <v>12.48012924382472</v>
      </c>
      <c r="E16" s="2091">
        <v>11.789148568328017</v>
      </c>
      <c r="F16" s="2091">
        <v>7.7386341349355323</v>
      </c>
      <c r="G16" s="2096">
        <v>14.44685286946104</v>
      </c>
      <c r="I16" s="407"/>
      <c r="J16" s="407" t="s">
        <v>162</v>
      </c>
      <c r="K16" s="408">
        <v>69.411436774866885</v>
      </c>
    </row>
    <row r="17" spans="1:11" ht="30" customHeight="1" x14ac:dyDescent="0.25">
      <c r="A17" s="635">
        <v>13</v>
      </c>
      <c r="B17" s="907" t="s">
        <v>203</v>
      </c>
      <c r="C17" s="2091">
        <v>9.1579266560230135</v>
      </c>
      <c r="D17" s="2091">
        <v>11.544692500333673</v>
      </c>
      <c r="E17" s="2091">
        <v>16.08927774329193</v>
      </c>
      <c r="F17" s="2091">
        <v>15.780285581268533</v>
      </c>
      <c r="G17" s="2096">
        <v>14.339679819646443</v>
      </c>
      <c r="I17" s="407"/>
      <c r="J17" s="407" t="s">
        <v>138</v>
      </c>
      <c r="K17" s="409">
        <v>62.547756570000004</v>
      </c>
    </row>
    <row r="18" spans="1:11" s="389" customFormat="1" ht="30" customHeight="1" x14ac:dyDescent="0.3">
      <c r="A18" s="2098">
        <v>14</v>
      </c>
      <c r="B18" s="907" t="s">
        <v>175</v>
      </c>
      <c r="C18" s="2091">
        <v>0</v>
      </c>
      <c r="D18" s="2091">
        <v>0</v>
      </c>
      <c r="E18" s="2091">
        <v>6.9649172634893633E-3</v>
      </c>
      <c r="F18" s="2091">
        <v>3.891599143962384</v>
      </c>
      <c r="G18" s="2096">
        <v>12.789251036782973</v>
      </c>
      <c r="I18" s="410"/>
      <c r="J18" s="410" t="s">
        <v>132</v>
      </c>
      <c r="K18" s="408">
        <v>62.167844671517869</v>
      </c>
    </row>
    <row r="19" spans="1:11" ht="30" customHeight="1" x14ac:dyDescent="0.3">
      <c r="A19" s="635">
        <v>15</v>
      </c>
      <c r="B19" s="907" t="s">
        <v>144</v>
      </c>
      <c r="C19" s="2091">
        <v>15.028642422995778</v>
      </c>
      <c r="D19" s="2091">
        <v>26.050137863913942</v>
      </c>
      <c r="E19" s="2091">
        <v>19.397582006715012</v>
      </c>
      <c r="F19" s="2091">
        <v>9.7067395222411825</v>
      </c>
      <c r="G19" s="2096">
        <v>12.434452209895611</v>
      </c>
      <c r="I19" s="407"/>
      <c r="J19" s="407" t="s">
        <v>175</v>
      </c>
      <c r="K19" s="408">
        <v>61.876666346409714</v>
      </c>
    </row>
    <row r="20" spans="1:11" ht="40.5" customHeight="1" x14ac:dyDescent="0.3">
      <c r="A20" s="635">
        <v>16</v>
      </c>
      <c r="B20" s="907" t="s">
        <v>161</v>
      </c>
      <c r="C20" s="2091">
        <v>7.6667974647961934</v>
      </c>
      <c r="D20" s="2091">
        <v>8.4712364840997267</v>
      </c>
      <c r="E20" s="2091">
        <v>8.9259395789758749</v>
      </c>
      <c r="F20" s="2091">
        <v>9.7268214852914507</v>
      </c>
      <c r="G20" s="2096">
        <v>10.291588464848969</v>
      </c>
      <c r="I20" s="407"/>
      <c r="J20" s="407" t="s">
        <v>202</v>
      </c>
      <c r="K20" s="408">
        <v>57.323459074697965</v>
      </c>
    </row>
    <row r="21" spans="1:11" ht="30" customHeight="1" x14ac:dyDescent="0.3">
      <c r="A21" s="635">
        <v>17</v>
      </c>
      <c r="B21" s="907" t="s">
        <v>2914</v>
      </c>
      <c r="C21" s="2091">
        <v>5.9946303640532053</v>
      </c>
      <c r="D21" s="2091">
        <v>6.1716687895887121</v>
      </c>
      <c r="E21" s="2091">
        <v>8.2202485907891027</v>
      </c>
      <c r="F21" s="2091">
        <v>9.3560355756124594</v>
      </c>
      <c r="G21" s="2096">
        <v>9.7153872526988163</v>
      </c>
      <c r="I21" s="407"/>
      <c r="J21" s="407" t="s">
        <v>203</v>
      </c>
      <c r="K21" s="408">
        <v>47.013728401713472</v>
      </c>
    </row>
    <row r="22" spans="1:11" ht="30" customHeight="1" x14ac:dyDescent="0.3">
      <c r="A22" s="635">
        <v>18</v>
      </c>
      <c r="B22" s="907" t="s">
        <v>350</v>
      </c>
      <c r="C22" s="2091">
        <v>12.229636510361416</v>
      </c>
      <c r="D22" s="2091">
        <v>9.5332424197861894</v>
      </c>
      <c r="E22" s="2091">
        <v>10.070561444453768</v>
      </c>
      <c r="F22" s="2091">
        <v>10.959750165457763</v>
      </c>
      <c r="G22" s="2096">
        <v>9.1149078332186484</v>
      </c>
      <c r="I22" s="407"/>
      <c r="J22" s="407" t="s">
        <v>343</v>
      </c>
      <c r="K22" s="411">
        <v>46.427448026735355</v>
      </c>
    </row>
    <row r="23" spans="1:11" ht="30" customHeight="1" x14ac:dyDescent="0.3">
      <c r="A23" s="635">
        <v>19</v>
      </c>
      <c r="B23" s="907" t="s">
        <v>199</v>
      </c>
      <c r="C23" s="2091">
        <v>5.0205448175976786</v>
      </c>
      <c r="D23" s="2091">
        <v>5.261901414008876</v>
      </c>
      <c r="E23" s="2091">
        <v>6.8323112866092783</v>
      </c>
      <c r="F23" s="2091">
        <v>8.39727051448833</v>
      </c>
      <c r="G23" s="2096">
        <v>9.0960023319495757</v>
      </c>
      <c r="J23" s="407" t="s">
        <v>179</v>
      </c>
      <c r="K23" s="408">
        <v>45.93515602658546</v>
      </c>
    </row>
    <row r="24" spans="1:11" ht="30" customHeight="1" x14ac:dyDescent="0.3">
      <c r="A24" s="635">
        <v>20</v>
      </c>
      <c r="B24" s="907" t="s">
        <v>178</v>
      </c>
      <c r="C24" s="2091">
        <v>2.312559815714327</v>
      </c>
      <c r="D24" s="2091">
        <v>3.9076954087367355</v>
      </c>
      <c r="E24" s="2091">
        <v>3.2072229723737808</v>
      </c>
      <c r="F24" s="2091">
        <v>4.1616390319937411</v>
      </c>
      <c r="G24" s="2096">
        <v>3.2709732299301546</v>
      </c>
      <c r="J24" s="407" t="s">
        <v>167</v>
      </c>
      <c r="K24" s="408">
        <v>45.815000000000005</v>
      </c>
    </row>
    <row r="25" spans="1:11" ht="30" customHeight="1" x14ac:dyDescent="0.3">
      <c r="A25" s="635">
        <v>21</v>
      </c>
      <c r="B25" s="907" t="s">
        <v>139</v>
      </c>
      <c r="C25" s="2091">
        <v>10.127007692767755</v>
      </c>
      <c r="D25" s="2091">
        <v>2.2660872712149418</v>
      </c>
      <c r="E25" s="2091">
        <v>1.3028494977506828</v>
      </c>
      <c r="F25" s="2091">
        <v>3.2408637131216298</v>
      </c>
      <c r="G25" s="2096">
        <v>2.6917109142756415</v>
      </c>
      <c r="J25" s="407" t="s">
        <v>350</v>
      </c>
      <c r="K25" s="408">
        <v>44.789166694499336</v>
      </c>
    </row>
    <row r="26" spans="1:11" ht="30" customHeight="1" x14ac:dyDescent="0.3">
      <c r="A26" s="635">
        <v>22</v>
      </c>
      <c r="B26" s="907" t="s">
        <v>2915</v>
      </c>
      <c r="C26" s="2091">
        <v>4.489976411653295</v>
      </c>
      <c r="D26" s="2091">
        <v>3.349822894163613</v>
      </c>
      <c r="E26" s="2091">
        <v>3.5775043343054529</v>
      </c>
      <c r="F26" s="2091">
        <v>2.9528992217021717</v>
      </c>
      <c r="G26" s="2096">
        <v>2.6048903227754967</v>
      </c>
      <c r="J26" s="407" t="s">
        <v>143</v>
      </c>
      <c r="K26" s="408">
        <v>43.041393699999993</v>
      </c>
    </row>
    <row r="27" spans="1:11" ht="30" customHeight="1" x14ac:dyDescent="0.3">
      <c r="A27" s="635">
        <v>23</v>
      </c>
      <c r="B27" s="907" t="s">
        <v>2916</v>
      </c>
      <c r="C27" s="2091">
        <v>0.23854990415365471</v>
      </c>
      <c r="D27" s="2091">
        <v>9.2057816262087533E-2</v>
      </c>
      <c r="E27" s="2091">
        <v>0.17714182151949162</v>
      </c>
      <c r="F27" s="2091">
        <v>1.3179869196801484</v>
      </c>
      <c r="G27" s="2096">
        <v>2.231440658842633</v>
      </c>
      <c r="J27" s="407" t="s">
        <v>178</v>
      </c>
      <c r="K27" s="408">
        <v>41.067386204239043</v>
      </c>
    </row>
    <row r="28" spans="1:11" ht="30" customHeight="1" x14ac:dyDescent="0.3">
      <c r="A28" s="635">
        <v>24</v>
      </c>
      <c r="B28" s="907" t="s">
        <v>179</v>
      </c>
      <c r="C28" s="2091">
        <v>3.6937839401942929</v>
      </c>
      <c r="D28" s="2091">
        <v>2.3725834774320371</v>
      </c>
      <c r="E28" s="2091">
        <v>2.7176192467241744</v>
      </c>
      <c r="F28" s="2091">
        <v>1.6111122501307784</v>
      </c>
      <c r="G28" s="2096">
        <v>1.3032839479319853</v>
      </c>
      <c r="J28" s="407" t="s">
        <v>139</v>
      </c>
      <c r="K28" s="408">
        <v>40.446450893661051</v>
      </c>
    </row>
    <row r="29" spans="1:11" ht="30" customHeight="1" x14ac:dyDescent="0.3">
      <c r="A29" s="635">
        <v>25</v>
      </c>
      <c r="B29" s="907" t="s">
        <v>162</v>
      </c>
      <c r="C29" s="2091">
        <v>1.6860643865555982</v>
      </c>
      <c r="D29" s="2091">
        <v>0.91115787038609231</v>
      </c>
      <c r="E29" s="2091">
        <v>1.0512222478654429</v>
      </c>
      <c r="F29" s="2091">
        <v>1.1848736206346777</v>
      </c>
      <c r="G29" s="2096">
        <v>0.83319102825533697</v>
      </c>
      <c r="J29" s="407" t="s">
        <v>166</v>
      </c>
      <c r="K29" s="408">
        <v>40.00513730365806</v>
      </c>
    </row>
    <row r="30" spans="1:11" ht="30" customHeight="1" x14ac:dyDescent="0.3">
      <c r="A30" s="635">
        <v>26</v>
      </c>
      <c r="B30" s="907" t="s">
        <v>136</v>
      </c>
      <c r="C30" s="2091">
        <v>0.72056372777011057</v>
      </c>
      <c r="D30" s="2091">
        <v>0.28824758339049006</v>
      </c>
      <c r="E30" s="2091">
        <v>0.23241693938694558</v>
      </c>
      <c r="F30" s="2091">
        <v>0.38688120885698524</v>
      </c>
      <c r="G30" s="2096">
        <v>0.74887967212143636</v>
      </c>
      <c r="J30" s="407" t="s">
        <v>204</v>
      </c>
      <c r="K30" s="408">
        <v>39.407316893927913</v>
      </c>
    </row>
    <row r="31" spans="1:11" ht="30" customHeight="1" x14ac:dyDescent="0.3">
      <c r="A31" s="635">
        <v>27</v>
      </c>
      <c r="B31" s="907" t="s">
        <v>140</v>
      </c>
      <c r="C31" s="2091">
        <v>0.89321674329074596</v>
      </c>
      <c r="D31" s="2091">
        <v>0.59254557919870143</v>
      </c>
      <c r="E31" s="2091">
        <v>0.91760892614444767</v>
      </c>
      <c r="F31" s="2091">
        <v>1.0344159124483858</v>
      </c>
      <c r="G31" s="2096">
        <v>0.60365659895611179</v>
      </c>
      <c r="J31" s="407" t="s">
        <v>145</v>
      </c>
      <c r="K31" s="408">
        <v>37.080698970407525</v>
      </c>
    </row>
    <row r="32" spans="1:11" ht="30" customHeight="1" x14ac:dyDescent="0.3">
      <c r="A32" s="635">
        <v>28</v>
      </c>
      <c r="B32" s="907" t="s">
        <v>129</v>
      </c>
      <c r="C32" s="2091">
        <v>0.59488460897173634</v>
      </c>
      <c r="D32" s="2091">
        <v>0.69744356851900591</v>
      </c>
      <c r="E32" s="2091">
        <v>0.48101638644514644</v>
      </c>
      <c r="F32" s="2091">
        <v>0.48275519399533418</v>
      </c>
      <c r="G32" s="2096">
        <v>0.39981482276071528</v>
      </c>
      <c r="J32" s="407" t="s">
        <v>341</v>
      </c>
      <c r="K32" s="408">
        <v>36.695099557522134</v>
      </c>
    </row>
    <row r="33" spans="1:11" ht="30" customHeight="1" x14ac:dyDescent="0.3">
      <c r="A33" s="635">
        <v>29</v>
      </c>
      <c r="B33" s="907" t="s">
        <v>2917</v>
      </c>
      <c r="C33" s="2091">
        <v>0.12465104273227848</v>
      </c>
      <c r="D33" s="2091">
        <v>0.13116733239746836</v>
      </c>
      <c r="E33" s="2091">
        <v>0.18062592529732022</v>
      </c>
      <c r="F33" s="2091">
        <v>0.13371040929626277</v>
      </c>
      <c r="G33" s="2096">
        <v>0.13145733277600793</v>
      </c>
      <c r="J33" s="407" t="s">
        <v>206</v>
      </c>
      <c r="K33" s="408">
        <v>35.06666666666667</v>
      </c>
    </row>
    <row r="34" spans="1:11" ht="30" customHeight="1" x14ac:dyDescent="0.3">
      <c r="A34" s="634"/>
      <c r="B34" s="908" t="s">
        <v>146</v>
      </c>
      <c r="C34" s="2092">
        <f>SUM(C5:C33)</f>
        <v>515.16015994116037</v>
      </c>
      <c r="D34" s="2092">
        <f>SUM(D5:D33)</f>
        <v>538.54081096729374</v>
      </c>
      <c r="E34" s="2092">
        <f>SUM(E5:E33)</f>
        <v>546.5598918365705</v>
      </c>
      <c r="F34" s="2092">
        <f>SUM(F5:F33)</f>
        <v>545.03684268328118</v>
      </c>
      <c r="G34" s="2092">
        <f>SUM(G5:G33)</f>
        <v>578.49581317819423</v>
      </c>
      <c r="J34" s="407" t="s">
        <v>200</v>
      </c>
      <c r="K34" s="408">
        <v>33.898648727112104</v>
      </c>
    </row>
    <row r="35" spans="1:11" ht="143.25" customHeight="1" x14ac:dyDescent="0.25">
      <c r="A35" s="2883" t="s">
        <v>3024</v>
      </c>
      <c r="B35" s="2884"/>
      <c r="C35" s="2884"/>
      <c r="D35" s="2884"/>
      <c r="E35" s="2884"/>
      <c r="F35" s="2884"/>
      <c r="G35" s="2885"/>
    </row>
    <row r="36" spans="1:11" ht="30" customHeight="1" thickBot="1" x14ac:dyDescent="0.4">
      <c r="A36" s="2886"/>
      <c r="B36" s="2887"/>
      <c r="C36" s="2887"/>
      <c r="D36" s="2887"/>
      <c r="E36" s="2887"/>
      <c r="F36" s="2887"/>
      <c r="G36" s="2888"/>
    </row>
    <row r="58" ht="1.5" customHeight="1" x14ac:dyDescent="0.25"/>
  </sheetData>
  <mergeCells count="4">
    <mergeCell ref="A2:G2"/>
    <mergeCell ref="A3:G3"/>
    <mergeCell ref="A35:G35"/>
    <mergeCell ref="A36:G36"/>
  </mergeCells>
  <pageMargins left="0.70866141732283472" right="0.70866141732283472" top="0.74803149606299213" bottom="0.74803149606299213" header="0.31496062992125984" footer="0.31496062992125984"/>
  <pageSetup paperSize="9" scale="58" orientation="portrait" horizontalDpi="300" verticalDpi="300"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095BE0-8F57-4004-973F-C45A44ACC163}">
  <sheetPr>
    <tabColor theme="0"/>
    <pageSetUpPr fitToPage="1"/>
  </sheetPr>
  <dimension ref="A1:I63"/>
  <sheetViews>
    <sheetView showWhiteSpace="0" view="pageLayout" topLeftCell="A31" zoomScale="80" zoomScaleNormal="55" zoomScalePageLayoutView="80" workbookViewId="0">
      <selection activeCell="B81" sqref="B81"/>
    </sheetView>
  </sheetViews>
  <sheetFormatPr defaultColWidth="9.140625" defaultRowHeight="15.75" x14ac:dyDescent="0.25"/>
  <cols>
    <col min="1" max="1" width="40.140625" style="390" customWidth="1"/>
    <col min="2" max="2" width="15.85546875" style="390" customWidth="1"/>
    <col min="3" max="3" width="16" style="390" customWidth="1"/>
    <col min="4" max="4" width="16.140625" style="390" bestFit="1" customWidth="1"/>
    <col min="5" max="5" width="21.42578125" style="390" bestFit="1" customWidth="1"/>
    <col min="6" max="6" width="21.28515625" style="390" customWidth="1"/>
    <col min="7" max="7" width="19.7109375" style="390" customWidth="1"/>
    <col min="8" max="9" width="20.5703125" style="390" customWidth="1"/>
    <col min="10" max="16384" width="9.140625" style="390"/>
  </cols>
  <sheetData>
    <row r="1" spans="1:9" ht="18.75" x14ac:dyDescent="0.25">
      <c r="A1" s="2901" t="s">
        <v>357</v>
      </c>
      <c r="B1" s="2901"/>
      <c r="C1" s="2901"/>
      <c r="D1" s="2901"/>
      <c r="E1" s="2901"/>
      <c r="F1" s="2901"/>
      <c r="G1" s="2901"/>
      <c r="H1" s="996"/>
      <c r="I1" s="996"/>
    </row>
    <row r="2" spans="1:9" ht="18.75" x14ac:dyDescent="0.25">
      <c r="A2" s="2901" t="s">
        <v>358</v>
      </c>
      <c r="B2" s="2901"/>
      <c r="C2" s="2901"/>
      <c r="D2" s="2901"/>
      <c r="E2" s="2901"/>
      <c r="F2" s="2901"/>
      <c r="G2" s="2901"/>
      <c r="H2" s="995"/>
      <c r="I2" s="995"/>
    </row>
    <row r="3" spans="1:9" ht="18.75" x14ac:dyDescent="0.3">
      <c r="A3" s="2295"/>
      <c r="B3" s="1189" t="s">
        <v>9</v>
      </c>
      <c r="C3" s="1189" t="s">
        <v>77</v>
      </c>
      <c r="D3" s="1189" t="s">
        <v>11</v>
      </c>
      <c r="E3" s="1189" t="s">
        <v>382</v>
      </c>
      <c r="F3" s="2296" t="s">
        <v>2309</v>
      </c>
      <c r="G3" s="1189" t="s">
        <v>2479</v>
      </c>
      <c r="H3" s="1026"/>
      <c r="I3" s="1026"/>
    </row>
    <row r="4" spans="1:9" ht="24.75" customHeight="1" x14ac:dyDescent="0.25">
      <c r="A4" s="2295" t="s">
        <v>360</v>
      </c>
      <c r="B4" s="2297">
        <v>28672.416463999998</v>
      </c>
      <c r="C4" s="2297">
        <v>34023.520843999999</v>
      </c>
      <c r="D4" s="2297">
        <v>34450.271148768668</v>
      </c>
      <c r="E4" s="2297">
        <v>36437.883023999995</v>
      </c>
      <c r="F4" s="2298">
        <v>36113.388945999992</v>
      </c>
      <c r="G4" s="1190">
        <v>34775.667120376645</v>
      </c>
      <c r="H4" s="1012"/>
      <c r="I4" s="1012"/>
    </row>
    <row r="5" spans="1:9" ht="24.75" customHeight="1" x14ac:dyDescent="0.25">
      <c r="A5" s="2295" t="s">
        <v>102</v>
      </c>
      <c r="B5" s="2297">
        <v>27783.755328956999</v>
      </c>
      <c r="C5" s="2297">
        <v>33131.233613829994</v>
      </c>
      <c r="D5" s="2297">
        <v>33663.921501867662</v>
      </c>
      <c r="E5" s="2297">
        <v>35716.936711072005</v>
      </c>
      <c r="F5" s="2298">
        <v>35593.856180258997</v>
      </c>
      <c r="G5" s="1190">
        <v>34326.230429851646</v>
      </c>
      <c r="H5" s="1012"/>
      <c r="I5" s="1012"/>
    </row>
    <row r="6" spans="1:9" ht="24.75" customHeight="1" x14ac:dyDescent="0.25">
      <c r="A6" s="2295" t="s">
        <v>362</v>
      </c>
      <c r="B6" s="2297">
        <v>33197.705287375007</v>
      </c>
      <c r="C6" s="2297">
        <v>31027.563031474998</v>
      </c>
      <c r="D6" s="2297">
        <v>26304.411986625</v>
      </c>
      <c r="E6" s="2297">
        <v>31795.201479375006</v>
      </c>
      <c r="F6" s="2298">
        <v>35720.305099999998</v>
      </c>
      <c r="G6" s="1190">
        <v>34426.682289999997</v>
      </c>
      <c r="H6" s="1012"/>
      <c r="I6" s="1012"/>
    </row>
    <row r="7" spans="1:9" ht="75.75" customHeight="1" x14ac:dyDescent="0.25">
      <c r="A7" s="2299" t="s">
        <v>105</v>
      </c>
      <c r="B7" s="2297">
        <v>60981.460616332006</v>
      </c>
      <c r="C7" s="2297">
        <v>64158.796645304988</v>
      </c>
      <c r="D7" s="2297">
        <v>59968.333488492659</v>
      </c>
      <c r="E7" s="2297">
        <v>67512.138190447004</v>
      </c>
      <c r="F7" s="2298">
        <v>71314.161280258995</v>
      </c>
      <c r="G7" s="1190">
        <v>68752.912719999993</v>
      </c>
      <c r="H7" s="1012"/>
      <c r="I7" s="1012"/>
    </row>
    <row r="8" spans="1:9" ht="24.75" customHeight="1" x14ac:dyDescent="0.25">
      <c r="A8" s="2300" t="s">
        <v>363</v>
      </c>
      <c r="B8" s="2301">
        <v>60.981460616332008</v>
      </c>
      <c r="C8" s="2301">
        <v>64.158796645304989</v>
      </c>
      <c r="D8" s="2301">
        <v>59.968333488492661</v>
      </c>
      <c r="E8" s="2301">
        <v>67.512138190447004</v>
      </c>
      <c r="F8" s="2302">
        <v>71.314161280259</v>
      </c>
      <c r="G8" s="2303">
        <v>68.752912719999998</v>
      </c>
      <c r="H8" s="1027"/>
      <c r="I8" s="1027"/>
    </row>
    <row r="9" spans="1:9" ht="35.25" customHeight="1" x14ac:dyDescent="0.25">
      <c r="A9" s="2899" t="s">
        <v>2943</v>
      </c>
      <c r="B9" s="2900"/>
      <c r="C9" s="2900"/>
      <c r="D9" s="2900"/>
      <c r="E9" s="2900"/>
      <c r="F9" s="2900"/>
      <c r="G9" s="2900"/>
      <c r="H9" s="1028"/>
      <c r="I9" s="1028"/>
    </row>
    <row r="10" spans="1:9" ht="18.75" x14ac:dyDescent="0.25">
      <c r="A10" s="2901" t="s">
        <v>364</v>
      </c>
      <c r="B10" s="2901"/>
      <c r="C10" s="2901"/>
      <c r="D10" s="2901"/>
      <c r="E10" s="2901"/>
      <c r="F10" s="2901"/>
      <c r="G10" s="2901"/>
      <c r="H10" s="996"/>
      <c r="I10" s="996"/>
    </row>
    <row r="11" spans="1:9" ht="18.75" x14ac:dyDescent="0.25">
      <c r="A11" s="2902" t="s">
        <v>365</v>
      </c>
      <c r="B11" s="2902"/>
      <c r="C11" s="2902"/>
      <c r="D11" s="2902"/>
      <c r="E11" s="2902"/>
      <c r="F11" s="2902"/>
      <c r="G11" s="2902"/>
      <c r="H11" s="995"/>
      <c r="I11" s="995"/>
    </row>
    <row r="12" spans="1:9" ht="18.75" x14ac:dyDescent="0.3">
      <c r="A12" s="909"/>
      <c r="B12" s="244" t="s">
        <v>9</v>
      </c>
      <c r="C12" s="244" t="s">
        <v>77</v>
      </c>
      <c r="D12" s="244" t="s">
        <v>11</v>
      </c>
      <c r="E12" s="244" t="s">
        <v>382</v>
      </c>
      <c r="F12" s="606" t="s">
        <v>2309</v>
      </c>
      <c r="G12" s="1189" t="s">
        <v>2479</v>
      </c>
      <c r="H12" s="1026"/>
      <c r="I12" s="1026"/>
    </row>
    <row r="13" spans="1:9" ht="24.75" customHeight="1" x14ac:dyDescent="0.3">
      <c r="A13" s="2896" t="s">
        <v>366</v>
      </c>
      <c r="B13" s="2897"/>
      <c r="C13" s="2897"/>
      <c r="D13" s="2897"/>
      <c r="E13" s="2897"/>
      <c r="F13" s="2897"/>
      <c r="G13" s="2898"/>
      <c r="H13" s="1029"/>
      <c r="I13" s="1029"/>
    </row>
    <row r="14" spans="1:9" ht="46.5" customHeight="1" x14ac:dyDescent="0.3">
      <c r="A14" s="1182" t="s">
        <v>367</v>
      </c>
      <c r="B14" s="1147">
        <v>21871.938679999999</v>
      </c>
      <c r="C14" s="1147">
        <v>20628.697688999997</v>
      </c>
      <c r="D14" s="1147">
        <v>19968.960368768669</v>
      </c>
      <c r="E14" s="1147">
        <v>19315.658007999995</v>
      </c>
      <c r="F14" s="1183">
        <v>18795.117518999996</v>
      </c>
      <c r="G14" s="1191">
        <v>18481.340966376647</v>
      </c>
      <c r="H14" s="1030"/>
      <c r="I14" s="1030"/>
    </row>
    <row r="15" spans="1:9" ht="24.75" customHeight="1" x14ac:dyDescent="0.3">
      <c r="A15" s="909" t="s">
        <v>368</v>
      </c>
      <c r="B15" s="1148">
        <v>458.16771504299993</v>
      </c>
      <c r="C15" s="1148">
        <v>514.64179817000002</v>
      </c>
      <c r="D15" s="1148">
        <v>388.55540490099992</v>
      </c>
      <c r="E15" s="1148">
        <v>280.49060592800004</v>
      </c>
      <c r="F15" s="1184">
        <v>232.32545374099999</v>
      </c>
      <c r="G15" s="1192">
        <v>228.62062452499998</v>
      </c>
      <c r="H15" s="1031"/>
      <c r="I15" s="1031"/>
    </row>
    <row r="16" spans="1:9" ht="24.75" customHeight="1" x14ac:dyDescent="0.3">
      <c r="A16" s="909" t="s">
        <v>369</v>
      </c>
      <c r="B16" s="1148">
        <v>4432.1467977113334</v>
      </c>
      <c r="C16" s="1148">
        <v>4239.3973633767609</v>
      </c>
      <c r="D16" s="1148">
        <v>4073.3640609849999</v>
      </c>
      <c r="E16" s="1148">
        <v>4089.2290260399991</v>
      </c>
      <c r="F16" s="1184">
        <v>4077.6974042240004</v>
      </c>
      <c r="G16" s="1192">
        <v>3960.8855481276496</v>
      </c>
      <c r="H16" s="1031"/>
      <c r="I16" s="1031"/>
    </row>
    <row r="17" spans="1:9" ht="24.75" customHeight="1" x14ac:dyDescent="0.3">
      <c r="A17" s="909" t="s">
        <v>370</v>
      </c>
      <c r="B17" s="1148">
        <v>0</v>
      </c>
      <c r="C17" s="1148">
        <v>0</v>
      </c>
      <c r="D17" s="1148">
        <v>0</v>
      </c>
      <c r="E17" s="1148">
        <v>0</v>
      </c>
      <c r="F17" s="1184">
        <v>0</v>
      </c>
      <c r="G17" s="1192">
        <v>0</v>
      </c>
      <c r="H17" s="1031"/>
      <c r="I17" s="1031"/>
    </row>
    <row r="18" spans="1:9" ht="57.75" customHeight="1" x14ac:dyDescent="0.3">
      <c r="A18" s="911" t="s">
        <v>371</v>
      </c>
      <c r="B18" s="1147">
        <v>16981.624167245667</v>
      </c>
      <c r="C18" s="1147">
        <v>15874.658527453237</v>
      </c>
      <c r="D18" s="1147">
        <v>15507.040902882669</v>
      </c>
      <c r="E18" s="1147">
        <v>14945.938376031996</v>
      </c>
      <c r="F18" s="1183">
        <v>14485.094661034997</v>
      </c>
      <c r="G18" s="1187">
        <v>14291.834793723998</v>
      </c>
      <c r="H18" s="1030"/>
      <c r="I18" s="1030"/>
    </row>
    <row r="19" spans="1:9" ht="24.75" customHeight="1" x14ac:dyDescent="0.3">
      <c r="A19" s="2893"/>
      <c r="B19" s="2894"/>
      <c r="C19" s="2894"/>
      <c r="D19" s="2894"/>
      <c r="E19" s="2894"/>
      <c r="F19" s="2894"/>
      <c r="G19" s="2894"/>
      <c r="H19" s="1032"/>
      <c r="I19" s="1032"/>
    </row>
    <row r="20" spans="1:9" ht="24.75" customHeight="1" x14ac:dyDescent="0.3">
      <c r="A20" s="2895" t="s">
        <v>372</v>
      </c>
      <c r="B20" s="2895"/>
      <c r="C20" s="2895"/>
      <c r="D20" s="2895"/>
      <c r="E20" s="2895"/>
      <c r="F20" s="2895"/>
      <c r="G20" s="2895"/>
      <c r="H20" s="1033"/>
      <c r="I20" s="1033"/>
    </row>
    <row r="21" spans="1:9" ht="24.75" customHeight="1" x14ac:dyDescent="0.3">
      <c r="A21" s="1182" t="s">
        <v>373</v>
      </c>
      <c r="B21" s="1147">
        <v>2479.7347840000002</v>
      </c>
      <c r="C21" s="1147">
        <v>2892.5401550000001</v>
      </c>
      <c r="D21" s="1147">
        <v>3041.2197800000004</v>
      </c>
      <c r="E21" s="1147">
        <v>3090.4580159999996</v>
      </c>
      <c r="F21" s="1183">
        <v>3175.4094269999996</v>
      </c>
      <c r="G21" s="1187">
        <v>3098.9001539999999</v>
      </c>
      <c r="H21" s="1030"/>
      <c r="I21" s="1030"/>
    </row>
    <row r="22" spans="1:9" ht="24.75" customHeight="1" x14ac:dyDescent="0.3">
      <c r="A22" s="909" t="s">
        <v>374</v>
      </c>
      <c r="B22" s="1148">
        <v>164.21689900000001</v>
      </c>
      <c r="C22" s="1148">
        <v>200.11149900000001</v>
      </c>
      <c r="D22" s="1148">
        <v>231.07989599999999</v>
      </c>
      <c r="E22" s="1148">
        <v>216.141626</v>
      </c>
      <c r="F22" s="1184">
        <v>80.815479000000011</v>
      </c>
      <c r="G22" s="1188">
        <v>56.280491000000005</v>
      </c>
      <c r="H22" s="1031"/>
      <c r="I22" s="1031"/>
    </row>
    <row r="23" spans="1:9" ht="24.75" customHeight="1" x14ac:dyDescent="0.3">
      <c r="A23" s="909" t="s">
        <v>369</v>
      </c>
      <c r="B23" s="1148">
        <v>371.31969000000004</v>
      </c>
      <c r="C23" s="1148">
        <v>471.05556399999995</v>
      </c>
      <c r="D23" s="1148">
        <v>473.19320979999998</v>
      </c>
      <c r="E23" s="1148">
        <v>466.32433599999996</v>
      </c>
      <c r="F23" s="1184">
        <v>531.18237799999997</v>
      </c>
      <c r="G23" s="1188">
        <v>511.84364599999992</v>
      </c>
      <c r="H23" s="1031"/>
      <c r="I23" s="1031"/>
    </row>
    <row r="24" spans="1:9" ht="24.75" customHeight="1" x14ac:dyDescent="0.3">
      <c r="A24" s="909" t="s">
        <v>370</v>
      </c>
      <c r="B24" s="1148">
        <v>13.849520999999998</v>
      </c>
      <c r="C24" s="1148">
        <v>32.231433000000003</v>
      </c>
      <c r="D24" s="1148">
        <v>48.176346000000002</v>
      </c>
      <c r="E24" s="1148">
        <v>40.298081000000003</v>
      </c>
      <c r="F24" s="1184">
        <v>28.042832999999998</v>
      </c>
      <c r="G24" s="1188">
        <v>33.267574999999994</v>
      </c>
      <c r="H24" s="1031"/>
      <c r="I24" s="1031"/>
    </row>
    <row r="25" spans="1:9" ht="57.75" customHeight="1" x14ac:dyDescent="0.3">
      <c r="A25" s="911" t="str">
        <f>A18</f>
        <v>D) =A-B-C       Net Production for Sale</v>
      </c>
      <c r="B25" s="1147">
        <v>1930.3486740000001</v>
      </c>
      <c r="C25" s="1147">
        <v>2189.1416590000003</v>
      </c>
      <c r="D25" s="1147">
        <v>2288.7703282000002</v>
      </c>
      <c r="E25" s="1147">
        <v>2367.6939729999995</v>
      </c>
      <c r="F25" s="1183">
        <v>2535.3687369999998</v>
      </c>
      <c r="G25" s="1187">
        <v>2497.5084420000003</v>
      </c>
      <c r="H25" s="1030"/>
      <c r="I25" s="1030"/>
    </row>
    <row r="26" spans="1:9" ht="24.75" customHeight="1" x14ac:dyDescent="0.3">
      <c r="A26" s="2893"/>
      <c r="B26" s="2894"/>
      <c r="C26" s="2894"/>
      <c r="D26" s="2894"/>
      <c r="E26" s="2894"/>
      <c r="F26" s="2894"/>
      <c r="G26" s="2894"/>
      <c r="H26" s="1032"/>
      <c r="I26" s="1032"/>
    </row>
    <row r="27" spans="1:9" ht="24.75" customHeight="1" x14ac:dyDescent="0.3">
      <c r="A27" s="2895" t="s">
        <v>375</v>
      </c>
      <c r="B27" s="2895"/>
      <c r="C27" s="2895"/>
      <c r="D27" s="2895"/>
      <c r="E27" s="2895"/>
      <c r="F27" s="2895"/>
      <c r="G27" s="2895"/>
      <c r="H27" s="1033"/>
      <c r="I27" s="1033"/>
    </row>
    <row r="28" spans="1:9" ht="24.75" customHeight="1" x14ac:dyDescent="0.3">
      <c r="A28" s="1182" t="s">
        <v>367</v>
      </c>
      <c r="B28" s="1147">
        <v>4320.7429999999995</v>
      </c>
      <c r="C28" s="1147">
        <v>10502.282999999999</v>
      </c>
      <c r="D28" s="1147">
        <v>11440.091</v>
      </c>
      <c r="E28" s="1147">
        <v>14031.767</v>
      </c>
      <c r="F28" s="1183">
        <v>14142.861999999999</v>
      </c>
      <c r="G28" s="1187">
        <v>13195.425999999998</v>
      </c>
      <c r="H28" s="1030"/>
      <c r="I28" s="1030"/>
    </row>
    <row r="29" spans="1:9" ht="24.75" customHeight="1" x14ac:dyDescent="0.3">
      <c r="A29" s="909" t="s">
        <v>368</v>
      </c>
      <c r="B29" s="1148">
        <v>199.30600000000001</v>
      </c>
      <c r="C29" s="1148">
        <v>97.902999999999992</v>
      </c>
      <c r="D29" s="1148">
        <v>75.602000000000004</v>
      </c>
      <c r="E29" s="1148">
        <v>152.45600000000002</v>
      </c>
      <c r="F29" s="1184">
        <v>161.47499999999999</v>
      </c>
      <c r="G29" s="1188">
        <v>108.32599999999999</v>
      </c>
      <c r="H29" s="1031"/>
      <c r="I29" s="1031"/>
    </row>
    <row r="30" spans="1:9" ht="24.75" customHeight="1" x14ac:dyDescent="0.3">
      <c r="A30" s="909" t="s">
        <v>369</v>
      </c>
      <c r="B30" s="1148">
        <v>925.45399999999984</v>
      </c>
      <c r="C30" s="1148">
        <v>1047.1360000000002</v>
      </c>
      <c r="D30" s="1148">
        <v>957.00700000000006</v>
      </c>
      <c r="E30" s="1148">
        <v>1025.9229999999998</v>
      </c>
      <c r="F30" s="1184">
        <v>937.64800000000002</v>
      </c>
      <c r="G30" s="1188">
        <v>818.49699999999984</v>
      </c>
      <c r="H30" s="1031"/>
      <c r="I30" s="1031"/>
    </row>
    <row r="31" spans="1:9" ht="24.75" customHeight="1" x14ac:dyDescent="0.3">
      <c r="A31" s="1185" t="s">
        <v>370</v>
      </c>
      <c r="B31" s="1148">
        <v>53.120999999999981</v>
      </c>
      <c r="C31" s="1148">
        <v>47.400999999999996</v>
      </c>
      <c r="D31" s="1148">
        <v>42.936</v>
      </c>
      <c r="E31" s="1148">
        <v>31.559999999999995</v>
      </c>
      <c r="F31" s="1184">
        <v>16.874000000000002</v>
      </c>
      <c r="G31" s="1188">
        <v>22.942</v>
      </c>
      <c r="H31" s="1031"/>
      <c r="I31" s="1031"/>
    </row>
    <row r="32" spans="1:9" ht="57.75" customHeight="1" x14ac:dyDescent="0.3">
      <c r="A32" s="911" t="s">
        <v>376</v>
      </c>
      <c r="B32" s="1147">
        <v>3142.8620000000001</v>
      </c>
      <c r="C32" s="1147">
        <v>9309.8429999999989</v>
      </c>
      <c r="D32" s="1147">
        <v>10364.546</v>
      </c>
      <c r="E32" s="1147">
        <v>12821.828</v>
      </c>
      <c r="F32" s="1183">
        <v>13026.865</v>
      </c>
      <c r="G32" s="1187">
        <v>12245.661</v>
      </c>
      <c r="H32" s="1030"/>
      <c r="I32" s="1030"/>
    </row>
    <row r="33" spans="1:9" ht="24.75" customHeight="1" x14ac:dyDescent="0.3">
      <c r="A33" s="2893"/>
      <c r="B33" s="2894"/>
      <c r="C33" s="2894"/>
      <c r="D33" s="2894"/>
      <c r="E33" s="2894"/>
      <c r="F33" s="2894"/>
      <c r="G33" s="2894"/>
      <c r="H33" s="1032"/>
      <c r="I33" s="1032"/>
    </row>
    <row r="34" spans="1:9" ht="24.75" customHeight="1" x14ac:dyDescent="0.3">
      <c r="A34" s="2895" t="s">
        <v>334</v>
      </c>
      <c r="B34" s="2895"/>
      <c r="C34" s="2895"/>
      <c r="D34" s="2895"/>
      <c r="E34" s="2895"/>
      <c r="F34" s="2895"/>
      <c r="G34" s="2895"/>
      <c r="H34" s="1034"/>
      <c r="I34" s="1034"/>
    </row>
    <row r="35" spans="1:9" ht="24.75" customHeight="1" x14ac:dyDescent="0.3">
      <c r="A35" s="1182" t="s">
        <v>367</v>
      </c>
      <c r="B35" s="1147">
        <f t="shared" ref="B35:G39" si="0">B28+B21+B14</f>
        <v>28672.416463999998</v>
      </c>
      <c r="C35" s="1147">
        <f t="shared" si="0"/>
        <v>34023.520843999999</v>
      </c>
      <c r="D35" s="1147">
        <f t="shared" si="0"/>
        <v>34450.271148768668</v>
      </c>
      <c r="E35" s="1147">
        <f>E28+E21+E14</f>
        <v>36437.883023999995</v>
      </c>
      <c r="F35" s="1183">
        <f>F28+F21+F14</f>
        <v>36113.388945999992</v>
      </c>
      <c r="G35" s="1183">
        <f>G28+G21+G14</f>
        <v>34775.667120376645</v>
      </c>
      <c r="H35" s="1030"/>
      <c r="I35" s="1030"/>
    </row>
    <row r="36" spans="1:9" ht="24.75" customHeight="1" x14ac:dyDescent="0.3">
      <c r="A36" s="909" t="s">
        <v>368</v>
      </c>
      <c r="B36" s="1148">
        <f t="shared" si="0"/>
        <v>821.69061404299998</v>
      </c>
      <c r="C36" s="1148">
        <f t="shared" si="0"/>
        <v>812.65629717000002</v>
      </c>
      <c r="D36" s="1148">
        <f t="shared" si="0"/>
        <v>695.23730090099991</v>
      </c>
      <c r="E36" s="1148">
        <f t="shared" si="0"/>
        <v>649.08823192800003</v>
      </c>
      <c r="F36" s="1184">
        <f t="shared" si="0"/>
        <v>474.61593274099999</v>
      </c>
      <c r="G36" s="1184">
        <f t="shared" si="0"/>
        <v>393.22711552499999</v>
      </c>
      <c r="H36" s="1031"/>
      <c r="I36" s="1031"/>
    </row>
    <row r="37" spans="1:9" ht="24.75" customHeight="1" x14ac:dyDescent="0.3">
      <c r="A37" s="909" t="s">
        <v>369</v>
      </c>
      <c r="B37" s="1148">
        <f t="shared" si="0"/>
        <v>5728.9204877113334</v>
      </c>
      <c r="C37" s="1148">
        <f t="shared" si="0"/>
        <v>5757.5889273767607</v>
      </c>
      <c r="D37" s="1148">
        <f t="shared" si="0"/>
        <v>5503.5642707850002</v>
      </c>
      <c r="E37" s="1148">
        <f t="shared" si="0"/>
        <v>5581.476362039999</v>
      </c>
      <c r="F37" s="1184">
        <f t="shared" si="0"/>
        <v>5546.5277822240005</v>
      </c>
      <c r="G37" s="1184">
        <f t="shared" si="0"/>
        <v>5291.2261941276493</v>
      </c>
      <c r="H37" s="1031"/>
      <c r="I37" s="1031"/>
    </row>
    <row r="38" spans="1:9" ht="24.75" customHeight="1" x14ac:dyDescent="0.3">
      <c r="A38" s="909" t="s">
        <v>370</v>
      </c>
      <c r="B38" s="1148">
        <f t="shared" si="0"/>
        <v>66.970520999999977</v>
      </c>
      <c r="C38" s="1148">
        <f t="shared" si="0"/>
        <v>79.632432999999992</v>
      </c>
      <c r="D38" s="1148">
        <f t="shared" si="0"/>
        <v>91.112346000000002</v>
      </c>
      <c r="E38" s="1148">
        <f t="shared" si="0"/>
        <v>71.858080999999999</v>
      </c>
      <c r="F38" s="1184">
        <f t="shared" si="0"/>
        <v>44.916832999999997</v>
      </c>
      <c r="G38" s="1184">
        <f t="shared" si="0"/>
        <v>56.209574999999994</v>
      </c>
      <c r="H38" s="1031"/>
      <c r="I38" s="1031"/>
    </row>
    <row r="39" spans="1:9" ht="57.75" customHeight="1" x14ac:dyDescent="0.3">
      <c r="A39" s="1186" t="str">
        <f>A32</f>
        <v>E) =A-B-C-D       Net Production for Sale</v>
      </c>
      <c r="B39" s="1147">
        <f t="shared" si="0"/>
        <v>22054.834841245669</v>
      </c>
      <c r="C39" s="1147">
        <f t="shared" si="0"/>
        <v>27373.643186453235</v>
      </c>
      <c r="D39" s="1147">
        <f>D32+D25+D18</f>
        <v>28160.357231082671</v>
      </c>
      <c r="E39" s="1147">
        <f>E35-E36-E37-E38</f>
        <v>30135.460349032001</v>
      </c>
      <c r="F39" s="1183">
        <f>F35-F36-F37-F38</f>
        <v>30047.328398034992</v>
      </c>
      <c r="G39" s="1183">
        <f>G35-G36-G37-G38</f>
        <v>29035.004235723998</v>
      </c>
      <c r="H39" s="1030"/>
      <c r="I39" s="1030"/>
    </row>
    <row r="40" spans="1:9" ht="24.75" customHeight="1" x14ac:dyDescent="0.25">
      <c r="A40" s="2889" t="s">
        <v>2400</v>
      </c>
      <c r="B40" s="2890"/>
      <c r="C40" s="2890"/>
      <c r="D40" s="2890"/>
      <c r="E40" s="2890"/>
      <c r="F40" s="2890"/>
      <c r="G40" s="2890"/>
      <c r="H40" s="1035"/>
      <c r="I40" s="1035"/>
    </row>
    <row r="41" spans="1:9" ht="24.75" customHeight="1" x14ac:dyDescent="0.3">
      <c r="A41" s="2889" t="s">
        <v>2302</v>
      </c>
      <c r="B41" s="2890"/>
      <c r="C41" s="2890"/>
      <c r="D41" s="2890"/>
      <c r="E41" s="2890"/>
      <c r="F41" s="2890"/>
      <c r="G41" s="2890"/>
      <c r="H41" s="637"/>
      <c r="I41" s="637"/>
    </row>
    <row r="42" spans="1:9" ht="24.75" customHeight="1" x14ac:dyDescent="0.3">
      <c r="A42" s="2891" t="s">
        <v>379</v>
      </c>
      <c r="B42" s="2892"/>
      <c r="C42" s="2892"/>
      <c r="D42" s="2892"/>
      <c r="E42" s="2892"/>
      <c r="F42" s="2892"/>
      <c r="G42" s="2892"/>
      <c r="H42" s="1036"/>
      <c r="I42" s="1036"/>
    </row>
    <row r="43" spans="1:9" x14ac:dyDescent="0.25">
      <c r="A43" s="412"/>
      <c r="B43" s="412"/>
      <c r="C43" s="412"/>
      <c r="D43" s="412"/>
      <c r="E43" s="412"/>
      <c r="F43" s="412"/>
      <c r="G43" s="412"/>
      <c r="H43" s="412"/>
      <c r="I43" s="412"/>
    </row>
    <row r="44" spans="1:9" x14ac:dyDescent="0.25">
      <c r="A44" s="412"/>
      <c r="B44" s="412"/>
      <c r="C44" s="412"/>
      <c r="D44" s="412"/>
      <c r="E44" s="412"/>
      <c r="F44" s="412"/>
      <c r="G44" s="412"/>
      <c r="H44" s="412"/>
      <c r="I44" s="412"/>
    </row>
    <row r="45" spans="1:9" x14ac:dyDescent="0.25">
      <c r="A45" s="412"/>
      <c r="B45" s="412"/>
      <c r="C45" s="412"/>
      <c r="D45" s="412"/>
      <c r="E45" s="412"/>
      <c r="F45" s="412"/>
      <c r="G45" s="412"/>
      <c r="H45" s="412"/>
      <c r="I45" s="412"/>
    </row>
    <row r="63" ht="1.5" customHeight="1" x14ac:dyDescent="0.25"/>
  </sheetData>
  <mergeCells count="15">
    <mergeCell ref="A13:G13"/>
    <mergeCell ref="A9:G9"/>
    <mergeCell ref="A1:G1"/>
    <mergeCell ref="A2:G2"/>
    <mergeCell ref="A10:G10"/>
    <mergeCell ref="A11:G11"/>
    <mergeCell ref="A40:G40"/>
    <mergeCell ref="A41:G41"/>
    <mergeCell ref="A42:G42"/>
    <mergeCell ref="A19:G19"/>
    <mergeCell ref="A20:G20"/>
    <mergeCell ref="A26:G26"/>
    <mergeCell ref="A27:G27"/>
    <mergeCell ref="A33:G33"/>
    <mergeCell ref="A34:G34"/>
  </mergeCells>
  <pageMargins left="0.70866141732283472" right="0.70866141732283472" top="0.74803149606299213" bottom="0.74803149606299213" header="0.31496062992125984" footer="0.31496062992125984"/>
  <pageSetup paperSize="9" scale="57"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6843E3-5FD4-4140-A23F-944ED47B78AF}">
  <sheetPr>
    <tabColor theme="0"/>
    <pageSetUpPr fitToPage="1"/>
  </sheetPr>
  <dimension ref="A1:AC70"/>
  <sheetViews>
    <sheetView view="pageLayout" topLeftCell="B56" zoomScale="70" zoomScaleNormal="70" zoomScalePageLayoutView="70" workbookViewId="0">
      <selection activeCell="B81" sqref="B81"/>
    </sheetView>
  </sheetViews>
  <sheetFormatPr defaultColWidth="9.140625" defaultRowHeight="16.5" x14ac:dyDescent="0.3"/>
  <cols>
    <col min="1" max="1" width="13.140625" style="4" hidden="1" customWidth="1"/>
    <col min="2" max="2" width="3" style="4" customWidth="1"/>
    <col min="3" max="3" width="40.5703125" style="4" customWidth="1"/>
    <col min="4" max="5" width="11.85546875" style="4" bestFit="1" customWidth="1"/>
    <col min="6" max="6" width="11.140625" style="4" customWidth="1"/>
    <col min="7" max="7" width="14" style="4" customWidth="1"/>
    <col min="8" max="8" width="15.28515625" style="4" customWidth="1"/>
    <col min="9" max="9" width="14" style="4" customWidth="1"/>
    <col min="10" max="10" width="15.28515625" style="4" customWidth="1"/>
    <col min="11" max="11" width="3.42578125" style="4" customWidth="1"/>
    <col min="12" max="12" width="9.140625" style="4"/>
    <col min="13" max="14" width="0" style="4" hidden="1" customWidth="1"/>
    <col min="15" max="15" width="2.7109375" style="90" hidden="1" customWidth="1"/>
    <col min="16" max="16" width="0" style="4" hidden="1" customWidth="1"/>
    <col min="17" max="25" width="9.140625" style="4"/>
    <col min="26" max="26" width="10.42578125" style="4" customWidth="1"/>
    <col min="27" max="27" width="10.85546875" style="4" customWidth="1"/>
    <col min="28" max="28" width="12" style="4" bestFit="1" customWidth="1"/>
    <col min="29" max="29" width="12.7109375" style="4" bestFit="1" customWidth="1"/>
    <col min="30" max="16384" width="9.140625" style="4"/>
  </cols>
  <sheetData>
    <row r="1" spans="2:13" ht="18.75" hidden="1" x14ac:dyDescent="0.3">
      <c r="B1" s="4" t="s">
        <v>296</v>
      </c>
      <c r="C1" s="2904"/>
      <c r="D1" s="2904"/>
      <c r="E1" s="2904"/>
      <c r="F1" s="2904"/>
      <c r="G1" s="2904"/>
      <c r="H1" s="2904"/>
      <c r="I1" s="2904"/>
      <c r="J1" s="2904"/>
    </row>
    <row r="2" spans="2:13" hidden="1" x14ac:dyDescent="0.3">
      <c r="C2" s="2905"/>
      <c r="D2" s="2905"/>
      <c r="E2" s="2905"/>
      <c r="F2" s="2905"/>
      <c r="G2" s="2905"/>
      <c r="H2" s="2905"/>
      <c r="I2" s="2905"/>
      <c r="J2" s="2905"/>
    </row>
    <row r="3" spans="2:13" hidden="1" x14ac:dyDescent="0.3">
      <c r="C3" s="66"/>
      <c r="D3" s="2"/>
      <c r="E3" s="2"/>
      <c r="F3" s="2"/>
      <c r="G3" s="2"/>
      <c r="H3" s="2"/>
      <c r="I3" s="101"/>
      <c r="J3" s="101"/>
      <c r="L3" s="67"/>
      <c r="M3" s="4" t="s">
        <v>359</v>
      </c>
    </row>
    <row r="4" spans="2:13" hidden="1" x14ac:dyDescent="0.3">
      <c r="C4" s="68"/>
      <c r="D4" s="40"/>
      <c r="E4" s="40"/>
      <c r="F4" s="40"/>
      <c r="G4" s="40"/>
      <c r="H4" s="40"/>
      <c r="I4" s="41"/>
      <c r="J4" s="42"/>
      <c r="M4" s="4" t="s">
        <v>361</v>
      </c>
    </row>
    <row r="5" spans="2:13" hidden="1" x14ac:dyDescent="0.3">
      <c r="C5" s="68"/>
      <c r="D5" s="40"/>
      <c r="E5" s="40"/>
      <c r="F5" s="40"/>
      <c r="G5" s="40"/>
      <c r="H5" s="40"/>
      <c r="I5" s="41"/>
      <c r="J5" s="42"/>
    </row>
    <row r="6" spans="2:13" hidden="1" x14ac:dyDescent="0.3">
      <c r="C6" s="68"/>
      <c r="D6" s="40"/>
      <c r="E6" s="40"/>
      <c r="F6" s="40"/>
      <c r="G6" s="40"/>
      <c r="H6" s="40"/>
      <c r="I6" s="41"/>
      <c r="J6" s="42"/>
    </row>
    <row r="7" spans="2:13" hidden="1" x14ac:dyDescent="0.3">
      <c r="C7" s="69"/>
      <c r="D7" s="40"/>
      <c r="E7" s="40"/>
      <c r="F7" s="40"/>
      <c r="G7" s="40"/>
      <c r="H7" s="40"/>
      <c r="I7" s="41"/>
      <c r="J7" s="42"/>
    </row>
    <row r="8" spans="2:13" ht="18" hidden="1" customHeight="1" x14ac:dyDescent="0.3">
      <c r="C8" s="70"/>
      <c r="D8" s="71"/>
      <c r="E8" s="71"/>
      <c r="F8" s="71"/>
      <c r="G8" s="71"/>
      <c r="H8" s="71"/>
      <c r="I8" s="102"/>
      <c r="J8" s="103"/>
    </row>
    <row r="9" spans="2:13" ht="19.5" hidden="1" customHeight="1" x14ac:dyDescent="0.3">
      <c r="C9" s="72"/>
      <c r="D9" s="73"/>
      <c r="E9" s="73"/>
      <c r="F9" s="73"/>
      <c r="G9" s="73"/>
      <c r="H9" s="73"/>
      <c r="I9" s="73"/>
      <c r="J9" s="73"/>
    </row>
    <row r="10" spans="2:13" hidden="1" x14ac:dyDescent="0.3">
      <c r="C10" s="2906"/>
      <c r="D10" s="2906"/>
      <c r="E10" s="2906"/>
      <c r="F10" s="2906"/>
      <c r="G10" s="2906"/>
      <c r="H10" s="2906"/>
      <c r="I10" s="2906"/>
      <c r="J10" s="2906"/>
    </row>
    <row r="11" spans="2:13" ht="18.75" hidden="1" x14ac:dyDescent="0.3">
      <c r="C11" s="2904"/>
      <c r="D11" s="2904"/>
      <c r="E11" s="2904"/>
      <c r="F11" s="2904"/>
      <c r="G11" s="2904"/>
      <c r="H11" s="2904"/>
      <c r="I11" s="2904"/>
      <c r="J11" s="2904"/>
    </row>
    <row r="12" spans="2:13" hidden="1" x14ac:dyDescent="0.3">
      <c r="C12" s="2905"/>
      <c r="D12" s="2905"/>
      <c r="E12" s="2905"/>
      <c r="F12" s="2905"/>
      <c r="G12" s="2905"/>
      <c r="H12" s="2905"/>
      <c r="I12" s="2905"/>
      <c r="J12" s="2905"/>
    </row>
    <row r="13" spans="2:13" hidden="1" x14ac:dyDescent="0.3">
      <c r="C13" s="66"/>
      <c r="D13" s="74"/>
      <c r="E13" s="2"/>
      <c r="F13" s="2"/>
      <c r="G13" s="2"/>
      <c r="H13" s="2"/>
      <c r="I13" s="101"/>
      <c r="J13" s="101"/>
    </row>
    <row r="14" spans="2:13" hidden="1" x14ac:dyDescent="0.3">
      <c r="C14" s="75"/>
      <c r="D14" s="76"/>
      <c r="E14" s="77"/>
      <c r="F14" s="76"/>
      <c r="G14" s="76"/>
      <c r="H14" s="77"/>
      <c r="I14" s="104"/>
      <c r="J14" s="105"/>
    </row>
    <row r="15" spans="2:13" ht="76.5" customHeight="1" x14ac:dyDescent="0.3">
      <c r="B15" s="1454"/>
      <c r="C15" s="75"/>
      <c r="D15" s="78"/>
      <c r="E15" s="78"/>
      <c r="F15" s="78"/>
      <c r="G15" s="78"/>
      <c r="H15" s="78"/>
      <c r="I15" s="106"/>
      <c r="J15" s="107"/>
    </row>
    <row r="16" spans="2:13" hidden="1" x14ac:dyDescent="0.3">
      <c r="C16" s="66" t="s">
        <v>368</v>
      </c>
      <c r="D16" s="79">
        <v>520.35332214300001</v>
      </c>
      <c r="E16" s="79">
        <v>458.16771504299993</v>
      </c>
      <c r="F16" s="79">
        <v>514.64179817000002</v>
      </c>
      <c r="G16" s="79">
        <v>388.55540490099992</v>
      </c>
      <c r="H16" s="79">
        <v>280.49060592800004</v>
      </c>
      <c r="I16" s="108">
        <v>149.22390195</v>
      </c>
      <c r="J16" s="109">
        <v>114.484135189</v>
      </c>
    </row>
    <row r="17" spans="3:10" hidden="1" x14ac:dyDescent="0.3">
      <c r="C17" s="66" t="s">
        <v>369</v>
      </c>
      <c r="D17" s="79">
        <v>4696.8234880072687</v>
      </c>
      <c r="E17" s="79">
        <v>4432.1467977113334</v>
      </c>
      <c r="F17" s="79">
        <v>4239.3973633767609</v>
      </c>
      <c r="G17" s="79">
        <v>4073.3640609849999</v>
      </c>
      <c r="H17" s="79">
        <v>4089.2290260399991</v>
      </c>
      <c r="I17" s="108">
        <v>1970.4259708009993</v>
      </c>
      <c r="J17" s="109">
        <v>2037.5279851750006</v>
      </c>
    </row>
    <row r="18" spans="3:10" hidden="1" x14ac:dyDescent="0.3">
      <c r="C18" s="66" t="s">
        <v>370</v>
      </c>
      <c r="D18" s="79">
        <v>0</v>
      </c>
      <c r="E18" s="79">
        <v>0</v>
      </c>
      <c r="F18" s="79">
        <v>0</v>
      </c>
      <c r="G18" s="79">
        <v>0</v>
      </c>
      <c r="H18" s="79">
        <v>0</v>
      </c>
      <c r="I18" s="108">
        <v>0</v>
      </c>
      <c r="J18" s="109">
        <v>0</v>
      </c>
    </row>
    <row r="19" spans="3:10" hidden="1" x14ac:dyDescent="0.3">
      <c r="C19" s="75" t="s">
        <v>371</v>
      </c>
      <c r="D19" s="78">
        <f>D15-D16-D17-D18</f>
        <v>-5217.1768101502685</v>
      </c>
      <c r="E19" s="78">
        <f>E15-E16-E17-E18</f>
        <v>-4890.314512754333</v>
      </c>
      <c r="F19" s="78">
        <f>F15-F16-F17-F18</f>
        <v>-4754.0391615467606</v>
      </c>
      <c r="G19" s="78">
        <f>G15-G16-G17-G18</f>
        <v>-4461.9194658859997</v>
      </c>
      <c r="H19" s="78">
        <f>H15-H16-H17-H18</f>
        <v>-4369.7196319679988</v>
      </c>
      <c r="I19" s="106">
        <v>7631.0237112490013</v>
      </c>
      <c r="J19" s="107">
        <f>J15-J16-J17-J18</f>
        <v>-2152.0121203640006</v>
      </c>
    </row>
    <row r="20" spans="3:10" hidden="1" x14ac:dyDescent="0.3">
      <c r="C20" s="2907"/>
      <c r="D20" s="2907"/>
      <c r="E20" s="2907"/>
      <c r="F20" s="2907"/>
      <c r="G20" s="2907"/>
      <c r="H20" s="2907"/>
      <c r="I20" s="2907"/>
      <c r="J20" s="2907"/>
    </row>
    <row r="21" spans="3:10" hidden="1" x14ac:dyDescent="0.3">
      <c r="C21" s="80" t="s">
        <v>372</v>
      </c>
      <c r="D21" s="2908"/>
      <c r="E21" s="2908"/>
      <c r="F21" s="2908"/>
      <c r="G21" s="2908"/>
      <c r="H21" s="2908"/>
      <c r="I21" s="2908"/>
      <c r="J21" s="2908"/>
    </row>
    <row r="22" spans="3:10" hidden="1" x14ac:dyDescent="0.3">
      <c r="C22" s="75" t="s">
        <v>373</v>
      </c>
      <c r="D22" s="78">
        <v>2668.2544120000007</v>
      </c>
      <c r="E22" s="78">
        <v>2479.7347840000002</v>
      </c>
      <c r="F22" s="78">
        <v>2892.5401550000001</v>
      </c>
      <c r="G22" s="78">
        <v>3041.2197800000004</v>
      </c>
      <c r="H22" s="78">
        <v>3090.4580159999996</v>
      </c>
      <c r="I22" s="106">
        <v>1517.146974</v>
      </c>
      <c r="J22" s="107">
        <v>1576.9653929999999</v>
      </c>
    </row>
    <row r="23" spans="3:10" hidden="1" x14ac:dyDescent="0.3">
      <c r="C23" s="66" t="s">
        <v>374</v>
      </c>
      <c r="D23" s="79">
        <v>154.79279499999998</v>
      </c>
      <c r="E23" s="79">
        <v>164.21689900000001</v>
      </c>
      <c r="F23" s="79">
        <v>200.11149900000001</v>
      </c>
      <c r="G23" s="79">
        <v>231.07989599999999</v>
      </c>
      <c r="H23" s="79">
        <v>216.141626</v>
      </c>
      <c r="I23" s="108">
        <v>121.64814899999999</v>
      </c>
      <c r="J23" s="109">
        <v>39.048649999999995</v>
      </c>
    </row>
    <row r="24" spans="3:10" hidden="1" x14ac:dyDescent="0.3">
      <c r="C24" s="66" t="s">
        <v>369</v>
      </c>
      <c r="D24" s="79">
        <v>376.69792900000004</v>
      </c>
      <c r="E24" s="79">
        <v>371.31969000000004</v>
      </c>
      <c r="F24" s="79">
        <v>471.05556399999995</v>
      </c>
      <c r="G24" s="79">
        <v>473.19320979999998</v>
      </c>
      <c r="H24" s="79">
        <v>466.32433599999996</v>
      </c>
      <c r="I24" s="108">
        <v>234.996771</v>
      </c>
      <c r="J24" s="109">
        <v>269.31601499999999</v>
      </c>
    </row>
    <row r="25" spans="3:10" hidden="1" x14ac:dyDescent="0.3">
      <c r="C25" s="66" t="s">
        <v>370</v>
      </c>
      <c r="D25" s="79">
        <v>13.29415</v>
      </c>
      <c r="E25" s="79">
        <v>13.849520999999998</v>
      </c>
      <c r="F25" s="79">
        <v>32.231433000000003</v>
      </c>
      <c r="G25" s="79">
        <v>48.176346000000002</v>
      </c>
      <c r="H25" s="79">
        <v>40.298081000000003</v>
      </c>
      <c r="I25" s="108">
        <v>20.135701000000001</v>
      </c>
      <c r="J25" s="109">
        <v>17.213555999999997</v>
      </c>
    </row>
    <row r="26" spans="3:10" hidden="1" x14ac:dyDescent="0.3">
      <c r="C26" s="75" t="str">
        <f>C19</f>
        <v>D) =A-B-C       Net Production for Sale</v>
      </c>
      <c r="D26" s="78">
        <f>D22-D23-D24-D25</f>
        <v>2123.4695380000007</v>
      </c>
      <c r="E26" s="78">
        <f>E22-E23-E24-E25</f>
        <v>1930.3486740000001</v>
      </c>
      <c r="F26" s="78">
        <f>F22-F23-F24-F25</f>
        <v>2189.1416590000003</v>
      </c>
      <c r="G26" s="78">
        <f>G22-G23-G24-G25</f>
        <v>2288.7703282000002</v>
      </c>
      <c r="H26" s="78">
        <f>H22-H23-H24-H25</f>
        <v>2367.6939729999995</v>
      </c>
      <c r="I26" s="106">
        <v>1140.3663530000001</v>
      </c>
      <c r="J26" s="107">
        <f>J22-J23-J24-J25</f>
        <v>1251.387172</v>
      </c>
    </row>
    <row r="27" spans="3:10" hidden="1" x14ac:dyDescent="0.3">
      <c r="C27" s="2909"/>
      <c r="D27" s="2910"/>
      <c r="E27" s="2910"/>
      <c r="F27" s="2910"/>
      <c r="G27" s="2910"/>
      <c r="H27" s="2910"/>
      <c r="I27" s="2910"/>
      <c r="J27" s="2910"/>
    </row>
    <row r="28" spans="3:10" hidden="1" x14ac:dyDescent="0.3">
      <c r="C28" s="80" t="s">
        <v>375</v>
      </c>
      <c r="D28" s="2911"/>
      <c r="E28" s="2911"/>
      <c r="F28" s="2911"/>
      <c r="G28" s="2911"/>
      <c r="H28" s="2911"/>
      <c r="I28" s="2911"/>
      <c r="J28" s="2911"/>
    </row>
    <row r="29" spans="3:10" hidden="1" x14ac:dyDescent="0.3">
      <c r="C29" s="75" t="s">
        <v>367</v>
      </c>
      <c r="D29" s="78">
        <v>4769.7759999999998</v>
      </c>
      <c r="E29" s="78">
        <v>4320.7429999999995</v>
      </c>
      <c r="F29" s="78">
        <v>10502.282999999999</v>
      </c>
      <c r="G29" s="78">
        <v>11440.091</v>
      </c>
      <c r="H29" s="78">
        <v>14031.767</v>
      </c>
      <c r="I29" s="106">
        <v>6611.0779999999995</v>
      </c>
      <c r="J29" s="107">
        <v>7176.2939999999999</v>
      </c>
    </row>
    <row r="30" spans="3:10" hidden="1" x14ac:dyDescent="0.3">
      <c r="C30" s="66" t="s">
        <v>368</v>
      </c>
      <c r="D30" s="79">
        <v>185.18</v>
      </c>
      <c r="E30" s="79">
        <v>199.30600000000001</v>
      </c>
      <c r="F30" s="79">
        <v>97.902999999999992</v>
      </c>
      <c r="G30" s="79">
        <v>75.602000000000004</v>
      </c>
      <c r="H30" s="79">
        <v>152.45600000000002</v>
      </c>
      <c r="I30" s="108">
        <v>66.524000000000001</v>
      </c>
      <c r="J30" s="109">
        <v>105.327</v>
      </c>
    </row>
    <row r="31" spans="3:10" hidden="1" x14ac:dyDescent="0.3">
      <c r="C31" s="66" t="s">
        <v>369</v>
      </c>
      <c r="D31" s="79">
        <v>978.11599999999999</v>
      </c>
      <c r="E31" s="79">
        <v>925.45399999999984</v>
      </c>
      <c r="F31" s="79">
        <v>1047.1360000000002</v>
      </c>
      <c r="G31" s="79">
        <v>957.00700000000006</v>
      </c>
      <c r="H31" s="79">
        <v>1025.9229999999998</v>
      </c>
      <c r="I31" s="108">
        <v>522.28100000000006</v>
      </c>
      <c r="J31" s="109">
        <v>483.86</v>
      </c>
    </row>
    <row r="32" spans="3:10" hidden="1" x14ac:dyDescent="0.3">
      <c r="C32" s="81" t="s">
        <v>370</v>
      </c>
      <c r="D32" s="79">
        <v>54.082000000000001</v>
      </c>
      <c r="E32" s="79">
        <v>53.120999999999981</v>
      </c>
      <c r="F32" s="79">
        <v>47.400999999999996</v>
      </c>
      <c r="G32" s="79">
        <v>42.936</v>
      </c>
      <c r="H32" s="79">
        <v>31.559999999999995</v>
      </c>
      <c r="I32" s="108">
        <v>17.998999999999999</v>
      </c>
      <c r="J32" s="109">
        <v>8.8659999999999997</v>
      </c>
    </row>
    <row r="33" spans="3:29" hidden="1" x14ac:dyDescent="0.3">
      <c r="C33" s="75" t="s">
        <v>376</v>
      </c>
      <c r="D33" s="78">
        <f>D29-D30-D31-D32</f>
        <v>3552.3979999999997</v>
      </c>
      <c r="E33" s="78">
        <f>E29-E30-E31-E32</f>
        <v>3142.8620000000001</v>
      </c>
      <c r="F33" s="78">
        <f>F29-F30-F31-F32</f>
        <v>9309.8429999999989</v>
      </c>
      <c r="G33" s="78">
        <f>G29-G30-G31-G32</f>
        <v>10364.546</v>
      </c>
      <c r="H33" s="78">
        <f>H29-H30-H31-H32</f>
        <v>12821.828</v>
      </c>
      <c r="I33" s="106">
        <v>6004.2739999999994</v>
      </c>
      <c r="J33" s="107">
        <f>J29-J30-J31-J32</f>
        <v>6578.241</v>
      </c>
    </row>
    <row r="34" spans="3:29" hidden="1" x14ac:dyDescent="0.3">
      <c r="C34" s="2907"/>
      <c r="D34" s="2907"/>
      <c r="E34" s="2907"/>
      <c r="F34" s="2907"/>
      <c r="G34" s="2907"/>
      <c r="H34" s="2907"/>
      <c r="I34" s="2907"/>
      <c r="J34" s="2907"/>
    </row>
    <row r="35" spans="3:29" hidden="1" x14ac:dyDescent="0.3">
      <c r="C35" s="80" t="s">
        <v>334</v>
      </c>
      <c r="D35" s="2912"/>
      <c r="E35" s="2912"/>
      <c r="F35" s="2912"/>
      <c r="G35" s="2912"/>
      <c r="H35" s="2912"/>
      <c r="I35" s="2912"/>
      <c r="J35" s="2912"/>
    </row>
    <row r="36" spans="3:29" hidden="1" x14ac:dyDescent="0.3">
      <c r="C36" s="75" t="s">
        <v>367</v>
      </c>
      <c r="D36" s="78">
        <f t="shared" ref="D36:J40" si="0">D29+D22+D15</f>
        <v>7438.0304120000001</v>
      </c>
      <c r="E36" s="78">
        <f t="shared" si="0"/>
        <v>6800.4777839999997</v>
      </c>
      <c r="F36" s="78">
        <f t="shared" si="0"/>
        <v>13394.823155</v>
      </c>
      <c r="G36" s="78">
        <f t="shared" si="0"/>
        <v>14481.31078</v>
      </c>
      <c r="H36" s="78">
        <f>H29+H22+H15</f>
        <v>17122.225016</v>
      </c>
      <c r="I36" s="106">
        <v>17878.898558000001</v>
      </c>
      <c r="J36" s="107">
        <f>J29+J22+J15</f>
        <v>8753.2593930000003</v>
      </c>
    </row>
    <row r="37" spans="3:29" hidden="1" x14ac:dyDescent="0.3">
      <c r="C37" s="66" t="s">
        <v>368</v>
      </c>
      <c r="D37" s="79">
        <f t="shared" si="0"/>
        <v>860.32611714300003</v>
      </c>
      <c r="E37" s="79">
        <f t="shared" si="0"/>
        <v>821.69061404299998</v>
      </c>
      <c r="F37" s="79">
        <f t="shared" si="0"/>
        <v>812.65629717000002</v>
      </c>
      <c r="G37" s="79">
        <f t="shared" si="0"/>
        <v>695.23730090099991</v>
      </c>
      <c r="H37" s="79">
        <f t="shared" si="0"/>
        <v>649.08823192800003</v>
      </c>
      <c r="I37" s="108">
        <v>337.39605095000002</v>
      </c>
      <c r="J37" s="109">
        <f t="shared" si="0"/>
        <v>258.85978518900004</v>
      </c>
    </row>
    <row r="38" spans="3:29" hidden="1" x14ac:dyDescent="0.3">
      <c r="C38" s="66" t="s">
        <v>369</v>
      </c>
      <c r="D38" s="79">
        <f t="shared" si="0"/>
        <v>6051.6374170072686</v>
      </c>
      <c r="E38" s="79">
        <f t="shared" si="0"/>
        <v>5728.9204877113334</v>
      </c>
      <c r="F38" s="79">
        <f t="shared" si="0"/>
        <v>5757.5889273767607</v>
      </c>
      <c r="G38" s="79">
        <f t="shared" si="0"/>
        <v>5503.5642707850002</v>
      </c>
      <c r="H38" s="79">
        <f t="shared" si="0"/>
        <v>5581.476362039999</v>
      </c>
      <c r="I38" s="108">
        <v>2727.7037418009995</v>
      </c>
      <c r="J38" s="109">
        <f t="shared" si="0"/>
        <v>2790.7040001750006</v>
      </c>
    </row>
    <row r="39" spans="3:29" hidden="1" x14ac:dyDescent="0.3">
      <c r="C39" s="66" t="s">
        <v>370</v>
      </c>
      <c r="D39" s="79">
        <f t="shared" si="0"/>
        <v>67.376149999999996</v>
      </c>
      <c r="E39" s="79">
        <f t="shared" si="0"/>
        <v>66.970520999999977</v>
      </c>
      <c r="F39" s="79">
        <f t="shared" si="0"/>
        <v>79.632432999999992</v>
      </c>
      <c r="G39" s="79">
        <f t="shared" si="0"/>
        <v>91.112346000000002</v>
      </c>
      <c r="H39" s="79">
        <f t="shared" si="0"/>
        <v>71.858080999999999</v>
      </c>
      <c r="I39" s="108">
        <v>38.134701</v>
      </c>
      <c r="J39" s="109">
        <f t="shared" si="0"/>
        <v>26.079555999999997</v>
      </c>
    </row>
    <row r="40" spans="3:29" hidden="1" x14ac:dyDescent="0.3">
      <c r="C40" s="82" t="str">
        <f>C33</f>
        <v>E) =A-B-C-D       Net Production for Sale</v>
      </c>
      <c r="D40" s="78">
        <f t="shared" si="0"/>
        <v>458.69072784973196</v>
      </c>
      <c r="E40" s="78">
        <f t="shared" si="0"/>
        <v>182.89616124566692</v>
      </c>
      <c r="F40" s="78">
        <f t="shared" si="0"/>
        <v>6744.9454974532391</v>
      </c>
      <c r="G40" s="78">
        <f>G33+G26+G19</f>
        <v>8191.3968623140008</v>
      </c>
      <c r="H40" s="78">
        <f>H36-H37-H38-H39</f>
        <v>10819.802341032002</v>
      </c>
      <c r="I40" s="106">
        <v>14775.664064249002</v>
      </c>
      <c r="J40" s="107">
        <f>J36-J37-J38-J39</f>
        <v>5677.6160516359987</v>
      </c>
    </row>
    <row r="41" spans="3:29" ht="31.5" hidden="1" customHeight="1" x14ac:dyDescent="0.3">
      <c r="C41" s="2903" t="s">
        <v>377</v>
      </c>
      <c r="D41" s="2903"/>
      <c r="E41" s="2903"/>
      <c r="F41" s="2903"/>
      <c r="G41" s="2903"/>
      <c r="H41" s="2903"/>
      <c r="I41" s="2903"/>
      <c r="J41" s="2903"/>
    </row>
    <row r="42" spans="3:29" hidden="1" x14ac:dyDescent="0.3">
      <c r="C42" s="83" t="s">
        <v>378</v>
      </c>
      <c r="D42" s="45"/>
      <c r="E42" s="84"/>
      <c r="F42" s="84"/>
      <c r="G42" s="45"/>
      <c r="H42" s="84"/>
      <c r="I42" s="45"/>
      <c r="J42" s="84"/>
    </row>
    <row r="43" spans="3:29" hidden="1" x14ac:dyDescent="0.3">
      <c r="C43" s="85" t="s">
        <v>379</v>
      </c>
      <c r="D43" s="85"/>
      <c r="E43" s="85"/>
      <c r="F43" s="85"/>
      <c r="G43" s="85"/>
      <c r="H43" s="85"/>
      <c r="I43" s="85"/>
      <c r="J43" s="85"/>
    </row>
    <row r="44" spans="3:29" hidden="1" x14ac:dyDescent="0.3">
      <c r="C44" s="85"/>
      <c r="D44" s="85"/>
      <c r="E44" s="85"/>
      <c r="F44" s="85"/>
      <c r="G44" s="85"/>
      <c r="H44" s="85"/>
      <c r="I44" s="85"/>
      <c r="J44" s="85"/>
    </row>
    <row r="45" spans="3:29" x14ac:dyDescent="0.3">
      <c r="C45" s="85"/>
      <c r="D45" s="85"/>
      <c r="E45" s="85"/>
      <c r="F45" s="85"/>
      <c r="G45" s="85"/>
      <c r="H45" s="85"/>
      <c r="I45" s="85"/>
      <c r="J45" s="85"/>
    </row>
    <row r="46" spans="3:29" x14ac:dyDescent="0.3">
      <c r="I46" s="112"/>
    </row>
    <row r="47" spans="3:29" ht="19.5" thickBot="1" x14ac:dyDescent="0.35">
      <c r="U47" s="117"/>
      <c r="V47" s="117"/>
      <c r="W47" s="117"/>
      <c r="X47" s="117"/>
      <c r="Y47" s="117"/>
      <c r="Z47" s="117"/>
      <c r="AA47" s="117"/>
      <c r="AB47" s="117"/>
      <c r="AC47" s="117"/>
    </row>
    <row r="48" spans="3:29" ht="18.75" x14ac:dyDescent="0.3">
      <c r="U48" s="1422" t="s">
        <v>380</v>
      </c>
      <c r="V48" s="1423"/>
      <c r="W48" s="1423"/>
      <c r="X48" s="1423"/>
      <c r="Y48" s="1423"/>
      <c r="Z48" s="1423"/>
      <c r="AA48" s="1423"/>
      <c r="AB48" s="117"/>
      <c r="AC48" s="117"/>
    </row>
    <row r="49" spans="21:29" ht="18.75" x14ac:dyDescent="0.3">
      <c r="U49" s="117"/>
      <c r="V49" s="117"/>
      <c r="W49" s="117"/>
      <c r="X49" s="117"/>
      <c r="Y49" s="117"/>
      <c r="Z49" s="117"/>
      <c r="AA49" s="117"/>
      <c r="AB49" s="117"/>
      <c r="AC49" s="117"/>
    </row>
    <row r="50" spans="21:29" ht="18.75" x14ac:dyDescent="0.3">
      <c r="U50" s="117" t="s">
        <v>381</v>
      </c>
      <c r="V50" s="117"/>
      <c r="W50" s="117"/>
      <c r="X50" s="117"/>
      <c r="Y50" s="117"/>
      <c r="Z50" s="117"/>
      <c r="AA50" s="117"/>
      <c r="AB50" s="117"/>
      <c r="AC50" s="117"/>
    </row>
    <row r="51" spans="21:29" ht="37.5" x14ac:dyDescent="0.3">
      <c r="U51" s="517"/>
      <c r="V51" s="541" t="s">
        <v>8</v>
      </c>
      <c r="W51" s="541" t="s">
        <v>76</v>
      </c>
      <c r="X51" s="541" t="s">
        <v>10</v>
      </c>
      <c r="Y51" s="541" t="s">
        <v>779</v>
      </c>
      <c r="Z51" s="541" t="s">
        <v>382</v>
      </c>
      <c r="AA51" s="1424" t="s">
        <v>2309</v>
      </c>
      <c r="AB51" s="1425" t="s">
        <v>2479</v>
      </c>
      <c r="AC51" s="117"/>
    </row>
    <row r="52" spans="21:29" ht="18.75" x14ac:dyDescent="0.3">
      <c r="U52" s="517" t="s">
        <v>243</v>
      </c>
      <c r="V52" s="910">
        <v>18529.013587639936</v>
      </c>
      <c r="W52" s="910">
        <v>16981.624167245667</v>
      </c>
      <c r="X52" s="910">
        <v>15874.658527453237</v>
      </c>
      <c r="Y52" s="910">
        <v>15507.040902882669</v>
      </c>
      <c r="Z52" s="910">
        <v>14945.938376032002</v>
      </c>
      <c r="AA52" s="1430">
        <v>14485.094661034997</v>
      </c>
      <c r="AB52" s="1426">
        <v>14291.834793723998</v>
      </c>
      <c r="AC52" s="117"/>
    </row>
    <row r="53" spans="21:29" ht="18.75" x14ac:dyDescent="0.3">
      <c r="U53" s="517" t="s">
        <v>244</v>
      </c>
      <c r="V53" s="910">
        <v>2123.4695380000007</v>
      </c>
      <c r="W53" s="910">
        <v>1930.3486740000001</v>
      </c>
      <c r="X53" s="910">
        <v>2189.1416590000003</v>
      </c>
      <c r="Y53" s="910">
        <v>2288.7703282000002</v>
      </c>
      <c r="Z53" s="910">
        <v>2367.6939729999999</v>
      </c>
      <c r="AA53" s="1430">
        <v>2535.3687369999998</v>
      </c>
      <c r="AB53" s="1426">
        <v>2497.5084420000003</v>
      </c>
      <c r="AC53" s="117"/>
    </row>
    <row r="54" spans="21:29" ht="18.75" x14ac:dyDescent="0.3">
      <c r="U54" s="517" t="s">
        <v>383</v>
      </c>
      <c r="V54" s="910">
        <v>3552.3979999999997</v>
      </c>
      <c r="W54" s="910">
        <v>3142.8620000000001</v>
      </c>
      <c r="X54" s="910">
        <v>9309.8429999999989</v>
      </c>
      <c r="Y54" s="910">
        <v>10364.864000000001</v>
      </c>
      <c r="Z54" s="910">
        <v>12821.827999999998</v>
      </c>
      <c r="AA54" s="1430">
        <v>13026.865</v>
      </c>
      <c r="AB54" s="1426">
        <v>12245.661</v>
      </c>
      <c r="AC54" s="117"/>
    </row>
    <row r="55" spans="21:29" ht="18.75" x14ac:dyDescent="0.3">
      <c r="U55" s="577" t="s">
        <v>133</v>
      </c>
      <c r="V55" s="604">
        <v>24204.881125639899</v>
      </c>
      <c r="W55" s="604">
        <v>22054.834841245669</v>
      </c>
      <c r="X55" s="604">
        <v>27373.643186453235</v>
      </c>
      <c r="Y55" s="604">
        <v>28160.675231082671</v>
      </c>
      <c r="Z55" s="604">
        <v>30135.460349032001</v>
      </c>
      <c r="AA55" s="1431">
        <v>30047.328398034995</v>
      </c>
      <c r="AB55" s="1427">
        <v>29035.004235723998</v>
      </c>
      <c r="AC55" s="117"/>
    </row>
    <row r="56" spans="21:29" ht="18.75" x14ac:dyDescent="0.3">
      <c r="U56" s="117"/>
      <c r="V56" s="117"/>
      <c r="W56" s="117"/>
      <c r="X56" s="117"/>
      <c r="Y56" s="117"/>
      <c r="Z56" s="117"/>
      <c r="AA56" s="117"/>
      <c r="AB56" s="117"/>
      <c r="AC56" s="117"/>
    </row>
    <row r="57" spans="21:29" ht="18.75" x14ac:dyDescent="0.3">
      <c r="U57" s="117"/>
      <c r="V57" s="117"/>
      <c r="W57" s="117"/>
      <c r="X57" s="117"/>
      <c r="Y57" s="117"/>
      <c r="Z57" s="117"/>
      <c r="AA57" s="117"/>
      <c r="AB57" s="117"/>
      <c r="AC57" s="117"/>
    </row>
    <row r="58" spans="21:29" ht="18.75" x14ac:dyDescent="0.3">
      <c r="U58" s="117"/>
      <c r="V58" s="117"/>
      <c r="W58" s="117"/>
      <c r="X58" s="117"/>
      <c r="Y58" s="117"/>
      <c r="Z58" s="117"/>
      <c r="AA58" s="117"/>
      <c r="AB58" s="117"/>
      <c r="AC58" s="117"/>
    </row>
    <row r="59" spans="21:29" ht="18.75" x14ac:dyDescent="0.3">
      <c r="U59" s="1019"/>
      <c r="V59" s="1102"/>
      <c r="W59" s="1102"/>
      <c r="X59" s="1102"/>
      <c r="Y59" s="1102"/>
      <c r="Z59" s="1102"/>
      <c r="AA59" s="1424"/>
      <c r="AB59" s="1425"/>
      <c r="AC59" s="1425"/>
    </row>
    <row r="60" spans="21:29" ht="18.75" x14ac:dyDescent="0.3">
      <c r="U60" s="1019"/>
      <c r="V60" s="1432"/>
      <c r="W60" s="1432"/>
      <c r="X60" s="1432"/>
      <c r="Y60" s="1432"/>
      <c r="Z60" s="1432"/>
      <c r="AA60" s="1433"/>
      <c r="AB60" s="1428"/>
      <c r="AC60" s="1428"/>
    </row>
    <row r="61" spans="21:29" ht="18.75" x14ac:dyDescent="0.3">
      <c r="U61" s="1019"/>
      <c r="V61" s="1432"/>
      <c r="W61" s="1432"/>
      <c r="X61" s="1432"/>
      <c r="Y61" s="1432"/>
      <c r="Z61" s="1432"/>
      <c r="AA61" s="1433"/>
      <c r="AB61" s="1428"/>
      <c r="AC61" s="1428"/>
    </row>
    <row r="62" spans="21:29" ht="18.75" x14ac:dyDescent="0.3">
      <c r="U62" s="1019"/>
      <c r="V62" s="1434"/>
      <c r="W62" s="1434"/>
      <c r="X62" s="1434"/>
      <c r="Y62" s="1434"/>
      <c r="Z62" s="1434"/>
      <c r="AA62" s="1435"/>
      <c r="AB62" s="1436"/>
      <c r="AC62" s="1436"/>
    </row>
    <row r="63" spans="21:29" ht="18.75" x14ac:dyDescent="0.3">
      <c r="U63" s="1429"/>
      <c r="V63" s="1428"/>
      <c r="W63" s="1428"/>
      <c r="X63" s="1428"/>
      <c r="Y63" s="1428"/>
      <c r="Z63" s="1428"/>
      <c r="AA63" s="1428"/>
      <c r="AB63" s="1428"/>
      <c r="AC63" s="1428"/>
    </row>
    <row r="64" spans="21:29" ht="1.5" customHeight="1" x14ac:dyDescent="0.3">
      <c r="U64" s="117"/>
      <c r="V64" s="117"/>
      <c r="W64" s="117"/>
      <c r="X64" s="117"/>
      <c r="Y64" s="117"/>
      <c r="Z64" s="117"/>
      <c r="AA64" s="117"/>
      <c r="AB64" s="117"/>
      <c r="AC64" s="117"/>
    </row>
    <row r="65" spans="21:29" ht="18.75" x14ac:dyDescent="0.3">
      <c r="U65" s="117"/>
      <c r="V65" s="117"/>
      <c r="W65" s="117"/>
      <c r="X65" s="117"/>
      <c r="Y65" s="117"/>
      <c r="Z65" s="117"/>
      <c r="AA65" s="117"/>
      <c r="AB65" s="117"/>
      <c r="AC65" s="117"/>
    </row>
    <row r="66" spans="21:29" ht="30" x14ac:dyDescent="0.3">
      <c r="U66" s="1438" t="s">
        <v>4</v>
      </c>
      <c r="V66" s="1437" t="s">
        <v>8</v>
      </c>
      <c r="W66" s="1193" t="s">
        <v>76</v>
      </c>
      <c r="X66" s="1193" t="s">
        <v>10</v>
      </c>
      <c r="Y66" s="1193" t="s">
        <v>779</v>
      </c>
      <c r="Z66" s="1193" t="s">
        <v>382</v>
      </c>
      <c r="AA66" s="1193" t="s">
        <v>2309</v>
      </c>
      <c r="AB66" s="1425" t="s">
        <v>2479</v>
      </c>
      <c r="AC66" s="117"/>
    </row>
    <row r="67" spans="21:29" ht="18.75" x14ac:dyDescent="0.3">
      <c r="U67" s="1439" t="s">
        <v>102</v>
      </c>
      <c r="V67" s="1195">
        <v>30257</v>
      </c>
      <c r="W67" s="1195">
        <v>27783.755328956999</v>
      </c>
      <c r="X67" s="1195">
        <v>33131.233613829994</v>
      </c>
      <c r="Y67" s="1194">
        <v>33663.921501867662</v>
      </c>
      <c r="Z67" s="1194">
        <v>35716.936711072005</v>
      </c>
      <c r="AA67" s="1194">
        <v>35593.856180258997</v>
      </c>
      <c r="AB67" s="1194">
        <v>34326.230429851646</v>
      </c>
      <c r="AC67" s="117"/>
    </row>
    <row r="68" spans="21:29" ht="18.75" x14ac:dyDescent="0.3">
      <c r="U68" s="1439" t="s">
        <v>2503</v>
      </c>
      <c r="V68" s="1195">
        <v>33886.819469502327</v>
      </c>
      <c r="W68" s="1195">
        <v>33197.705287375007</v>
      </c>
      <c r="X68" s="1195">
        <v>31027.563031474998</v>
      </c>
      <c r="Y68" s="1194">
        <v>26304.411986625</v>
      </c>
      <c r="Z68" s="1468">
        <v>31795.201479375006</v>
      </c>
      <c r="AA68" s="1468">
        <v>35720.305099999998</v>
      </c>
      <c r="AB68" s="1468">
        <v>34426.682289999997</v>
      </c>
      <c r="AC68" s="117"/>
    </row>
    <row r="69" spans="21:29" ht="54" x14ac:dyDescent="0.3">
      <c r="U69" s="1440" t="s">
        <v>384</v>
      </c>
      <c r="V69" s="1441">
        <f>V68/(V67+V68)</f>
        <v>0.52829438205833812</v>
      </c>
      <c r="W69" s="1441">
        <f t="shared" ref="W69:AB69" si="1">W68/(W67+W68)</f>
        <v>0.54439013024368299</v>
      </c>
      <c r="X69" s="1441">
        <f t="shared" si="1"/>
        <v>0.48360575094647651</v>
      </c>
      <c r="Y69" s="1441">
        <f t="shared" si="1"/>
        <v>0.43863836889301855</v>
      </c>
      <c r="Z69" s="1441">
        <f t="shared" si="1"/>
        <v>0.47095533235346471</v>
      </c>
      <c r="AA69" s="1441">
        <f t="shared" si="1"/>
        <v>0.50088656248261876</v>
      </c>
      <c r="AB69" s="1441">
        <f t="shared" si="1"/>
        <v>0.50073052803273699</v>
      </c>
      <c r="AC69" s="117"/>
    </row>
    <row r="70" spans="21:29" ht="18.75" x14ac:dyDescent="0.3">
      <c r="U70" s="1196" t="s">
        <v>2467</v>
      </c>
      <c r="V70" s="1195">
        <f>+V67+V68</f>
        <v>64143.819469502327</v>
      </c>
      <c r="W70" s="1195">
        <f t="shared" ref="W70:AB70" si="2">+W67+W68</f>
        <v>60981.460616332006</v>
      </c>
      <c r="X70" s="1195">
        <f t="shared" si="2"/>
        <v>64158.796645304988</v>
      </c>
      <c r="Y70" s="1195">
        <f t="shared" si="2"/>
        <v>59968.333488492659</v>
      </c>
      <c r="Z70" s="1195">
        <f t="shared" si="2"/>
        <v>67512.138190447004</v>
      </c>
      <c r="AA70" s="1195">
        <f t="shared" si="2"/>
        <v>71314.161280258995</v>
      </c>
      <c r="AB70" s="1195">
        <f t="shared" si="2"/>
        <v>68752.912719851651</v>
      </c>
      <c r="AC70" s="117"/>
    </row>
  </sheetData>
  <mergeCells count="12">
    <mergeCell ref="C41:J41"/>
    <mergeCell ref="C1:J1"/>
    <mergeCell ref="C2:J2"/>
    <mergeCell ref="C10:J10"/>
    <mergeCell ref="C11:J11"/>
    <mergeCell ref="C12:J12"/>
    <mergeCell ref="C20:J20"/>
    <mergeCell ref="D21:J21"/>
    <mergeCell ref="C27:J27"/>
    <mergeCell ref="D28:J28"/>
    <mergeCell ref="C34:J34"/>
    <mergeCell ref="D35:J35"/>
  </mergeCells>
  <pageMargins left="0.70866141732283472" right="0.70866141732283472" top="0.74803149606299213" bottom="0.74803149606299213" header="0.31496062992125984" footer="0.31496062992125984"/>
  <pageSetup paperSize="9" scale="32"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F65682-B19A-4348-8BFF-43A628C0E93C}">
  <sheetPr>
    <tabColor theme="0"/>
  </sheetPr>
  <dimension ref="B2:H101"/>
  <sheetViews>
    <sheetView view="pageLayout" topLeftCell="A11" zoomScale="80" zoomScaleNormal="80" zoomScalePageLayoutView="80" workbookViewId="0">
      <selection activeCell="B81" sqref="B81:B87"/>
    </sheetView>
  </sheetViews>
  <sheetFormatPr defaultRowHeight="15" x14ac:dyDescent="0.25"/>
  <cols>
    <col min="1" max="1" width="2.42578125" customWidth="1"/>
    <col min="2" max="2" width="15.5703125" customWidth="1"/>
    <col min="3" max="3" width="14.28515625" customWidth="1"/>
    <col min="4" max="4" width="15.5703125" customWidth="1"/>
    <col min="5" max="5" width="18.28515625" bestFit="1" customWidth="1"/>
    <col min="6" max="6" width="15.7109375" bestFit="1" customWidth="1"/>
  </cols>
  <sheetData>
    <row r="2" spans="2:6" ht="18.75" x14ac:dyDescent="0.25">
      <c r="B2" s="2915" t="s">
        <v>385</v>
      </c>
      <c r="C2" s="2915"/>
      <c r="D2" s="2915"/>
      <c r="E2" s="2915"/>
      <c r="F2" s="2915"/>
    </row>
    <row r="3" spans="2:6" ht="45" x14ac:dyDescent="0.25">
      <c r="B3" s="56" t="s">
        <v>217</v>
      </c>
      <c r="C3" s="52" t="s">
        <v>386</v>
      </c>
      <c r="D3" s="56" t="s">
        <v>387</v>
      </c>
      <c r="E3" s="54" t="s">
        <v>238</v>
      </c>
      <c r="F3" s="54" t="s">
        <v>235</v>
      </c>
    </row>
    <row r="4" spans="2:6" ht="16.5" x14ac:dyDescent="0.25">
      <c r="B4" s="2916" t="s">
        <v>221</v>
      </c>
      <c r="C4" s="2916" t="s">
        <v>388</v>
      </c>
      <c r="D4" s="1230" t="s">
        <v>8</v>
      </c>
      <c r="E4" s="40">
        <v>912.32358299999987</v>
      </c>
      <c r="F4" s="40">
        <v>873.8161879999999</v>
      </c>
    </row>
    <row r="5" spans="2:6" ht="16.5" x14ac:dyDescent="0.25">
      <c r="B5" s="2917"/>
      <c r="C5" s="2917"/>
      <c r="D5" s="1230" t="s">
        <v>9</v>
      </c>
      <c r="E5" s="40">
        <v>827.46564000000001</v>
      </c>
      <c r="F5" s="40">
        <v>783.42765999999995</v>
      </c>
    </row>
    <row r="6" spans="2:6" ht="16.5" x14ac:dyDescent="0.25">
      <c r="B6" s="2917"/>
      <c r="C6" s="2917"/>
      <c r="D6" s="1230" t="s">
        <v>77</v>
      </c>
      <c r="E6" s="40">
        <v>808.6409789999999</v>
      </c>
      <c r="F6" s="40">
        <v>767.37404399999991</v>
      </c>
    </row>
    <row r="7" spans="2:6" ht="16.5" x14ac:dyDescent="0.25">
      <c r="B7" s="2917"/>
      <c r="C7" s="2917"/>
      <c r="D7" s="1230" t="s">
        <v>11</v>
      </c>
      <c r="E7" s="40">
        <v>709.6944840000001</v>
      </c>
      <c r="F7" s="40">
        <v>680.08845899999994</v>
      </c>
    </row>
    <row r="8" spans="2:6" ht="16.5" x14ac:dyDescent="0.25">
      <c r="B8" s="2917"/>
      <c r="C8" s="2917"/>
      <c r="D8" s="1725" t="s">
        <v>382</v>
      </c>
      <c r="E8" s="40">
        <v>721.91052100000002</v>
      </c>
      <c r="F8" s="40">
        <v>688.10663</v>
      </c>
    </row>
    <row r="9" spans="2:6" ht="16.5" x14ac:dyDescent="0.25">
      <c r="B9" s="1725"/>
      <c r="C9" s="2917"/>
      <c r="D9" s="1230" t="s">
        <v>2384</v>
      </c>
      <c r="E9" s="40">
        <v>757.63493400000004</v>
      </c>
      <c r="F9" s="40">
        <v>717.6335509999999</v>
      </c>
    </row>
    <row r="10" spans="2:6" ht="16.5" x14ac:dyDescent="0.25">
      <c r="B10" s="1725"/>
      <c r="C10" s="2917"/>
      <c r="D10" s="1725" t="s">
        <v>2536</v>
      </c>
      <c r="E10" s="40">
        <v>735.7002040000001</v>
      </c>
      <c r="F10" s="40">
        <v>702.16306800000007</v>
      </c>
    </row>
    <row r="11" spans="2:6" ht="16.5" x14ac:dyDescent="0.25">
      <c r="B11" s="2913" t="s">
        <v>389</v>
      </c>
      <c r="C11" s="2917"/>
      <c r="D11" s="1230" t="s">
        <v>8</v>
      </c>
      <c r="E11" s="40">
        <v>3186.8168459999997</v>
      </c>
      <c r="F11" s="40">
        <v>2942.3505924209994</v>
      </c>
    </row>
    <row r="12" spans="2:6" ht="16.5" x14ac:dyDescent="0.25">
      <c r="B12" s="2913"/>
      <c r="C12" s="2917"/>
      <c r="D12" s="1230" t="s">
        <v>9</v>
      </c>
      <c r="E12" s="40">
        <v>3050.7297840000001</v>
      </c>
      <c r="F12" s="40">
        <v>2814.8107978699995</v>
      </c>
    </row>
    <row r="13" spans="2:6" ht="16.5" x14ac:dyDescent="0.25">
      <c r="B13" s="2913"/>
      <c r="C13" s="2917"/>
      <c r="D13" s="1230" t="s">
        <v>77</v>
      </c>
      <c r="E13" s="40">
        <v>3429.1552189999998</v>
      </c>
      <c r="F13" s="40">
        <v>3135.768293178</v>
      </c>
    </row>
    <row r="14" spans="2:6" ht="16.5" x14ac:dyDescent="0.25">
      <c r="B14" s="2913"/>
      <c r="C14" s="2917"/>
      <c r="D14" s="1230" t="s">
        <v>11</v>
      </c>
      <c r="E14" s="40">
        <v>3610.7845855013334</v>
      </c>
      <c r="F14" s="40">
        <v>3274.4326332253331</v>
      </c>
    </row>
    <row r="15" spans="2:6" ht="16.5" x14ac:dyDescent="0.25">
      <c r="B15" s="2919"/>
      <c r="C15" s="2917"/>
      <c r="D15" s="1725" t="s">
        <v>382</v>
      </c>
      <c r="E15" s="40">
        <v>3528.8273840000002</v>
      </c>
      <c r="F15" s="40">
        <v>3209.2863355840013</v>
      </c>
    </row>
    <row r="16" spans="2:6" ht="16.5" x14ac:dyDescent="0.25">
      <c r="B16" s="2913"/>
      <c r="C16" s="2917"/>
      <c r="D16" s="1230" t="s">
        <v>2384</v>
      </c>
      <c r="E16" s="1804">
        <v>3597.0972129999996</v>
      </c>
      <c r="F16" s="1804">
        <v>3432.9389607839994</v>
      </c>
    </row>
    <row r="17" spans="2:6" ht="16.5" x14ac:dyDescent="0.25">
      <c r="B17" s="2913"/>
      <c r="C17" s="2917"/>
      <c r="D17" s="1725" t="s">
        <v>2537</v>
      </c>
      <c r="E17" s="40">
        <v>3472.5015919999996</v>
      </c>
      <c r="F17" s="40">
        <v>3324.8322299999995</v>
      </c>
    </row>
    <row r="18" spans="2:6" ht="16.5" x14ac:dyDescent="0.25">
      <c r="B18" s="2913" t="s">
        <v>222</v>
      </c>
      <c r="C18" s="2917"/>
      <c r="D18" s="1230" t="s">
        <v>8</v>
      </c>
      <c r="E18" s="40">
        <v>1342.3331391818185</v>
      </c>
      <c r="F18" s="40">
        <v>1286.8484294768184</v>
      </c>
    </row>
    <row r="19" spans="2:6" ht="16.5" x14ac:dyDescent="0.25">
      <c r="B19" s="2913"/>
      <c r="C19" s="2917"/>
      <c r="D19" s="1230" t="s">
        <v>9</v>
      </c>
      <c r="E19" s="40">
        <v>1138.3815476666666</v>
      </c>
      <c r="F19" s="40">
        <v>1058.6082426916666</v>
      </c>
    </row>
    <row r="20" spans="2:6" ht="16.5" x14ac:dyDescent="0.25">
      <c r="B20" s="2913"/>
      <c r="C20" s="2917"/>
      <c r="D20" s="1230" t="s">
        <v>77</v>
      </c>
      <c r="E20" s="40">
        <v>1017.2897889999999</v>
      </c>
      <c r="F20" s="40">
        <v>968.98014981699998</v>
      </c>
    </row>
    <row r="21" spans="2:6" ht="16.5" x14ac:dyDescent="0.25">
      <c r="B21" s="2913"/>
      <c r="C21" s="2917"/>
      <c r="D21" s="1230" t="s">
        <v>11</v>
      </c>
      <c r="E21" s="40">
        <v>923.2446232673334</v>
      </c>
      <c r="F21" s="40">
        <v>881.91400633733315</v>
      </c>
    </row>
    <row r="22" spans="2:6" ht="16.5" x14ac:dyDescent="0.25">
      <c r="B22" s="2913"/>
      <c r="C22" s="2917"/>
      <c r="D22" s="1725" t="s">
        <v>382</v>
      </c>
      <c r="E22" s="40">
        <v>926.01298500000007</v>
      </c>
      <c r="F22" s="40">
        <v>896.657706018</v>
      </c>
    </row>
    <row r="23" spans="2:6" ht="16.5" x14ac:dyDescent="0.25">
      <c r="B23" s="2913"/>
      <c r="C23" s="2917"/>
      <c r="D23" s="1230" t="s">
        <v>2384</v>
      </c>
      <c r="E23" s="1804">
        <v>1053.154174</v>
      </c>
      <c r="F23" s="1804">
        <v>1024.9597891419999</v>
      </c>
    </row>
    <row r="24" spans="2:6" ht="16.5" x14ac:dyDescent="0.25">
      <c r="B24" s="2913"/>
      <c r="C24" s="2917"/>
      <c r="D24" s="1725" t="s">
        <v>2479</v>
      </c>
      <c r="E24" s="40">
        <v>1032.5887729999999</v>
      </c>
      <c r="F24" s="40">
        <v>1003.191677382</v>
      </c>
    </row>
    <row r="25" spans="2:6" ht="16.5" x14ac:dyDescent="0.25">
      <c r="B25" s="2913" t="s">
        <v>223</v>
      </c>
      <c r="C25" s="2917"/>
      <c r="D25" s="1230" t="s">
        <v>8</v>
      </c>
      <c r="E25" s="40">
        <v>1882.5171150000003</v>
      </c>
      <c r="F25" s="40">
        <v>1772.352715</v>
      </c>
    </row>
    <row r="26" spans="2:6" ht="16.5" x14ac:dyDescent="0.25">
      <c r="B26" s="2913"/>
      <c r="C26" s="2917"/>
      <c r="D26" s="1230" t="s">
        <v>9</v>
      </c>
      <c r="E26" s="40">
        <v>2039.6429060000003</v>
      </c>
      <c r="F26" s="40">
        <v>1937.8644059999999</v>
      </c>
    </row>
    <row r="27" spans="2:6" ht="16.5" x14ac:dyDescent="0.25">
      <c r="B27" s="2913"/>
      <c r="C27" s="2917"/>
      <c r="D27" s="1230" t="s">
        <v>77</v>
      </c>
      <c r="E27" s="40">
        <v>2618.8332410000003</v>
      </c>
      <c r="F27" s="40">
        <v>2541.1884409999998</v>
      </c>
    </row>
    <row r="28" spans="2:6" ht="16.5" x14ac:dyDescent="0.25">
      <c r="B28" s="2913"/>
      <c r="C28" s="2917"/>
      <c r="D28" s="1230" t="s">
        <v>11</v>
      </c>
      <c r="E28" s="40">
        <v>2340.1464079999996</v>
      </c>
      <c r="F28" s="40">
        <v>2288.641408</v>
      </c>
    </row>
    <row r="29" spans="2:6" ht="16.5" x14ac:dyDescent="0.25">
      <c r="B29" s="2913"/>
      <c r="C29" s="2917"/>
      <c r="D29" s="1725" t="s">
        <v>382</v>
      </c>
      <c r="E29" s="40">
        <v>2198.9228250000001</v>
      </c>
      <c r="F29" s="40">
        <v>2153.5218249999998</v>
      </c>
    </row>
    <row r="30" spans="2:6" ht="16.5" x14ac:dyDescent="0.25">
      <c r="B30" s="2913"/>
      <c r="C30" s="2917"/>
      <c r="D30" s="1230" t="s">
        <v>2384</v>
      </c>
      <c r="E30" s="1804">
        <v>1784.904389</v>
      </c>
      <c r="F30" s="1804">
        <v>1747.1673890000002</v>
      </c>
    </row>
    <row r="31" spans="2:6" ht="16.5" x14ac:dyDescent="0.25">
      <c r="B31" s="2913"/>
      <c r="C31" s="2917"/>
      <c r="D31" s="1725" t="s">
        <v>2479</v>
      </c>
      <c r="E31" s="40">
        <v>1507.7053949999997</v>
      </c>
      <c r="F31" s="40">
        <v>1483.2963949999998</v>
      </c>
    </row>
    <row r="32" spans="2:6" ht="16.5" x14ac:dyDescent="0.25">
      <c r="B32" s="2913" t="s">
        <v>224</v>
      </c>
      <c r="C32" s="2917"/>
      <c r="D32" s="1230" t="s">
        <v>8</v>
      </c>
      <c r="E32" s="40">
        <v>1096.651881</v>
      </c>
      <c r="F32" s="40">
        <v>1050.962611141</v>
      </c>
    </row>
    <row r="33" spans="2:6" ht="16.5" x14ac:dyDescent="0.25">
      <c r="B33" s="2913"/>
      <c r="C33" s="2917"/>
      <c r="D33" s="1230" t="s">
        <v>9</v>
      </c>
      <c r="E33" s="40">
        <v>910.91339433333337</v>
      </c>
      <c r="F33" s="40">
        <v>856.99672439533333</v>
      </c>
    </row>
    <row r="34" spans="2:6" ht="16.5" x14ac:dyDescent="0.25">
      <c r="B34" s="2913"/>
      <c r="C34" s="2917"/>
      <c r="D34" s="1230" t="s">
        <v>77</v>
      </c>
      <c r="E34" s="40">
        <v>1066.5209379999999</v>
      </c>
      <c r="F34" s="40">
        <v>1043.3240078350002</v>
      </c>
    </row>
    <row r="35" spans="2:6" ht="16.5" x14ac:dyDescent="0.25">
      <c r="B35" s="2913"/>
      <c r="C35" s="2917"/>
      <c r="D35" s="1230" t="s">
        <v>11</v>
      </c>
      <c r="E35" s="40">
        <v>1109.45055</v>
      </c>
      <c r="F35" s="40">
        <v>1077.6206843049999</v>
      </c>
    </row>
    <row r="36" spans="2:6" ht="16.5" x14ac:dyDescent="0.25">
      <c r="B36" s="2913"/>
      <c r="C36" s="2917"/>
      <c r="D36" s="1725" t="s">
        <v>382</v>
      </c>
      <c r="E36" s="40">
        <v>1015.7728910000001</v>
      </c>
      <c r="F36" s="40">
        <v>981.32132147000004</v>
      </c>
    </row>
    <row r="37" spans="2:6" ht="16.5" x14ac:dyDescent="0.25">
      <c r="B37" s="2913"/>
      <c r="C37" s="2917"/>
      <c r="D37" s="1230" t="s">
        <v>2384</v>
      </c>
      <c r="E37" s="1804">
        <v>1013.38108</v>
      </c>
      <c r="F37" s="1804">
        <v>1002.776075333</v>
      </c>
    </row>
    <row r="38" spans="2:6" ht="16.5" x14ac:dyDescent="0.25">
      <c r="B38" s="2913"/>
      <c r="C38" s="2917"/>
      <c r="D38" s="1725" t="s">
        <v>2479</v>
      </c>
      <c r="E38" s="40">
        <v>946.22337159999995</v>
      </c>
      <c r="F38" s="40">
        <v>940.93645269299986</v>
      </c>
    </row>
    <row r="39" spans="2:6" ht="16.5" x14ac:dyDescent="0.25">
      <c r="B39" s="2913" t="s">
        <v>390</v>
      </c>
      <c r="C39" s="2917"/>
      <c r="D39" s="1230" t="s">
        <v>8</v>
      </c>
      <c r="E39" s="40">
        <v>1472.7541629999998</v>
      </c>
      <c r="F39" s="40">
        <v>1472.4620590000002</v>
      </c>
    </row>
    <row r="40" spans="2:6" ht="16.5" x14ac:dyDescent="0.25">
      <c r="B40" s="2913"/>
      <c r="C40" s="2917"/>
      <c r="D40" s="1230" t="s">
        <v>9</v>
      </c>
      <c r="E40" s="40">
        <v>1633.8432489999998</v>
      </c>
      <c r="F40" s="40">
        <v>1633.5531659999997</v>
      </c>
    </row>
    <row r="41" spans="2:6" ht="16.5" x14ac:dyDescent="0.25">
      <c r="B41" s="2913"/>
      <c r="C41" s="2917"/>
      <c r="D41" s="1230" t="s">
        <v>77</v>
      </c>
      <c r="E41" s="40">
        <v>1530.7756320000003</v>
      </c>
      <c r="F41" s="40">
        <v>1530.4718860000003</v>
      </c>
    </row>
    <row r="42" spans="2:6" ht="16.5" x14ac:dyDescent="0.25">
      <c r="B42" s="2913"/>
      <c r="C42" s="2917"/>
      <c r="D42" s="1230" t="s">
        <v>11</v>
      </c>
      <c r="E42" s="40">
        <v>1674.944598</v>
      </c>
      <c r="F42" s="40">
        <v>1674.6528639999999</v>
      </c>
    </row>
    <row r="43" spans="2:6" ht="16.5" x14ac:dyDescent="0.25">
      <c r="B43" s="2913"/>
      <c r="C43" s="2917"/>
      <c r="D43" s="1725" t="s">
        <v>382</v>
      </c>
      <c r="E43" s="40">
        <v>1524.8626929999998</v>
      </c>
      <c r="F43" s="40">
        <v>1524.5222909999998</v>
      </c>
    </row>
    <row r="44" spans="2:6" ht="16.5" x14ac:dyDescent="0.25">
      <c r="B44" s="2913"/>
      <c r="C44" s="2917"/>
      <c r="D44" s="1230" t="s">
        <v>2384</v>
      </c>
      <c r="E44" s="1804">
        <v>1224.133871</v>
      </c>
      <c r="F44" s="1804">
        <v>1223.793398</v>
      </c>
    </row>
    <row r="45" spans="2:6" ht="16.5" x14ac:dyDescent="0.25">
      <c r="B45" s="2913"/>
      <c r="C45" s="2918"/>
      <c r="D45" s="1725" t="s">
        <v>2479</v>
      </c>
      <c r="E45" s="40">
        <v>1212.6218859999999</v>
      </c>
      <c r="F45" s="40">
        <v>1212.3003690000003</v>
      </c>
    </row>
    <row r="46" spans="2:6" ht="16.5" x14ac:dyDescent="0.25">
      <c r="B46" s="2913" t="s">
        <v>391</v>
      </c>
      <c r="C46" s="2914" t="s">
        <v>392</v>
      </c>
      <c r="D46" s="1230" t="s">
        <v>8</v>
      </c>
      <c r="E46" s="40">
        <v>4.6440000000000001</v>
      </c>
      <c r="F46" s="40">
        <v>4.5730000000000004</v>
      </c>
    </row>
    <row r="47" spans="2:6" ht="16.5" x14ac:dyDescent="0.25">
      <c r="B47" s="2913"/>
      <c r="C47" s="2914"/>
      <c r="D47" s="1230" t="s">
        <v>9</v>
      </c>
      <c r="E47" s="40">
        <v>1.6679999999999999</v>
      </c>
      <c r="F47" s="40">
        <v>1.635</v>
      </c>
    </row>
    <row r="48" spans="2:6" ht="16.5" x14ac:dyDescent="0.25">
      <c r="B48" s="2913"/>
      <c r="C48" s="2914"/>
      <c r="D48" s="1230" t="s">
        <v>77</v>
      </c>
      <c r="E48" s="40">
        <v>4.0439999999999996</v>
      </c>
      <c r="F48" s="40">
        <v>4.0429999999999993</v>
      </c>
    </row>
    <row r="49" spans="2:6" ht="16.5" x14ac:dyDescent="0.25">
      <c r="B49" s="2913"/>
      <c r="C49" s="2914"/>
      <c r="D49" s="1230" t="s">
        <v>11</v>
      </c>
      <c r="E49" s="40">
        <v>10.095000000000001</v>
      </c>
      <c r="F49" s="40">
        <v>8.8310000000000013</v>
      </c>
    </row>
    <row r="50" spans="2:6" ht="16.5" x14ac:dyDescent="0.25">
      <c r="B50" s="2913"/>
      <c r="C50" s="2914"/>
      <c r="D50" s="1725" t="s">
        <v>382</v>
      </c>
      <c r="E50" s="40">
        <v>5.3710000000000013</v>
      </c>
      <c r="F50" s="40">
        <v>5.2670000000000012</v>
      </c>
    </row>
    <row r="51" spans="2:6" ht="16.5" x14ac:dyDescent="0.25">
      <c r="B51" s="2913"/>
      <c r="C51" s="2914"/>
      <c r="D51" s="1230" t="s">
        <v>2384</v>
      </c>
      <c r="E51" s="1804">
        <v>46.865000000000002</v>
      </c>
      <c r="F51" s="1804">
        <v>38.582000000000001</v>
      </c>
    </row>
    <row r="52" spans="2:6" ht="16.5" x14ac:dyDescent="0.25">
      <c r="B52" s="2913"/>
      <c r="C52" s="2914"/>
      <c r="D52" s="1725" t="s">
        <v>2479</v>
      </c>
      <c r="E52" s="40">
        <v>83.328000000000003</v>
      </c>
      <c r="F52" s="40">
        <v>83.176000000000002</v>
      </c>
    </row>
    <row r="53" spans="2:6" ht="16.5" x14ac:dyDescent="0.3">
      <c r="B53" s="2913" t="s">
        <v>393</v>
      </c>
      <c r="C53" s="2914"/>
      <c r="D53" s="1230" t="s">
        <v>8</v>
      </c>
      <c r="E53" s="1724">
        <v>344.89499999999998</v>
      </c>
      <c r="F53" s="1724">
        <v>344.20799999999997</v>
      </c>
    </row>
    <row r="54" spans="2:6" ht="16.5" x14ac:dyDescent="0.3">
      <c r="B54" s="2913"/>
      <c r="C54" s="2914"/>
      <c r="D54" s="1230" t="s">
        <v>9</v>
      </c>
      <c r="E54" s="1724">
        <v>333.69799999999998</v>
      </c>
      <c r="F54" s="1724">
        <v>333.02</v>
      </c>
    </row>
    <row r="55" spans="2:6" ht="16.5" x14ac:dyDescent="0.3">
      <c r="B55" s="2913"/>
      <c r="C55" s="2914"/>
      <c r="D55" s="1230" t="s">
        <v>77</v>
      </c>
      <c r="E55" s="1724">
        <v>389.24599999999998</v>
      </c>
      <c r="F55" s="1724">
        <v>365.41699999999997</v>
      </c>
    </row>
    <row r="56" spans="2:6" ht="16.5" x14ac:dyDescent="0.3">
      <c r="B56" s="2913"/>
      <c r="C56" s="2914"/>
      <c r="D56" s="1230" t="s">
        <v>11</v>
      </c>
      <c r="E56" s="1724">
        <v>263.93</v>
      </c>
      <c r="F56" s="1724">
        <v>263.43200000000002</v>
      </c>
    </row>
    <row r="57" spans="2:6" ht="16.5" x14ac:dyDescent="0.3">
      <c r="B57" s="2913"/>
      <c r="C57" s="2914"/>
      <c r="D57" s="1725" t="s">
        <v>382</v>
      </c>
      <c r="E57" s="1724">
        <v>234.16200000000003</v>
      </c>
      <c r="F57" s="1724">
        <v>233.72400000000002</v>
      </c>
    </row>
    <row r="58" spans="2:6" ht="16.5" x14ac:dyDescent="0.3">
      <c r="B58" s="2913"/>
      <c r="C58" s="2914"/>
      <c r="D58" s="1230" t="s">
        <v>2384</v>
      </c>
      <c r="E58" s="1726">
        <v>293.95699999999999</v>
      </c>
      <c r="F58" s="1726">
        <v>291.70800000000003</v>
      </c>
    </row>
    <row r="59" spans="2:6" ht="16.5" x14ac:dyDescent="0.3">
      <c r="B59" s="2913"/>
      <c r="C59" s="2914"/>
      <c r="D59" s="1725" t="s">
        <v>2479</v>
      </c>
      <c r="E59" s="1724">
        <v>322.85599999999994</v>
      </c>
      <c r="F59" s="1724">
        <v>320.13900000000001</v>
      </c>
    </row>
    <row r="60" spans="2:6" ht="16.5" x14ac:dyDescent="0.3">
      <c r="B60" s="2913" t="s">
        <v>394</v>
      </c>
      <c r="C60" s="2914"/>
      <c r="D60" s="1230" t="s">
        <v>8</v>
      </c>
      <c r="E60" s="1724">
        <v>305.89999999999998</v>
      </c>
      <c r="F60" s="1724">
        <v>277.11599999999999</v>
      </c>
    </row>
    <row r="61" spans="2:6" ht="16.5" x14ac:dyDescent="0.3">
      <c r="B61" s="2913"/>
      <c r="C61" s="2914"/>
      <c r="D61" s="1230" t="s">
        <v>9</v>
      </c>
      <c r="E61" s="1724">
        <v>307.02</v>
      </c>
      <c r="F61" s="1724">
        <v>250.49299999999997</v>
      </c>
    </row>
    <row r="62" spans="2:6" ht="16.5" x14ac:dyDescent="0.3">
      <c r="B62" s="2913"/>
      <c r="C62" s="2914"/>
      <c r="D62" s="1230" t="s">
        <v>77</v>
      </c>
      <c r="E62" s="1724">
        <v>290.10399999999998</v>
      </c>
      <c r="F62" s="1724">
        <v>289.70299999999997</v>
      </c>
    </row>
    <row r="63" spans="2:6" ht="16.5" x14ac:dyDescent="0.3">
      <c r="B63" s="2913"/>
      <c r="C63" s="2914"/>
      <c r="D63" s="1230" t="s">
        <v>11</v>
      </c>
      <c r="E63" s="1724">
        <v>399.42099999999999</v>
      </c>
      <c r="F63" s="1724">
        <v>386.714</v>
      </c>
    </row>
    <row r="64" spans="2:6" ht="1.5" customHeight="1" x14ac:dyDescent="0.3">
      <c r="B64" s="2913"/>
      <c r="C64" s="2914"/>
      <c r="D64" s="1725" t="s">
        <v>382</v>
      </c>
      <c r="E64" s="1724">
        <v>410.94699999999995</v>
      </c>
      <c r="F64" s="1724">
        <v>399.88199999999983</v>
      </c>
    </row>
    <row r="65" spans="2:6" ht="16.5" x14ac:dyDescent="0.3">
      <c r="B65" s="2913"/>
      <c r="C65" s="2914"/>
      <c r="D65" s="1230" t="s">
        <v>2384</v>
      </c>
      <c r="E65" s="1726">
        <v>414.75199999999995</v>
      </c>
      <c r="F65" s="1726">
        <v>405.19100000000003</v>
      </c>
    </row>
    <row r="66" spans="2:6" ht="16.5" x14ac:dyDescent="0.3">
      <c r="B66" s="2913"/>
      <c r="C66" s="2914"/>
      <c r="D66" s="1725" t="s">
        <v>2479</v>
      </c>
      <c r="E66" s="1724">
        <v>419.11300000000011</v>
      </c>
      <c r="F66" s="1724">
        <v>401.43599999999992</v>
      </c>
    </row>
    <row r="67" spans="2:6" ht="16.5" x14ac:dyDescent="0.25">
      <c r="B67" s="2913" t="s">
        <v>395</v>
      </c>
      <c r="C67" s="2913" t="s">
        <v>396</v>
      </c>
      <c r="D67" s="1230" t="s">
        <v>8</v>
      </c>
      <c r="E67" s="1727">
        <f t="shared" ref="E67:F73" si="0">E4+E11+E18+E25+E32+E39+E46+E53+E60</f>
        <v>10548.835727181819</v>
      </c>
      <c r="F67" s="1727">
        <f t="shared" si="0"/>
        <v>10024.689595038819</v>
      </c>
    </row>
    <row r="68" spans="2:6" ht="16.5" x14ac:dyDescent="0.25">
      <c r="B68" s="2913"/>
      <c r="C68" s="2913"/>
      <c r="D68" s="1230" t="s">
        <v>9</v>
      </c>
      <c r="E68" s="1727">
        <f t="shared" si="0"/>
        <v>10243.362521000001</v>
      </c>
      <c r="F68" s="1727">
        <f t="shared" si="0"/>
        <v>9670.4089969569995</v>
      </c>
    </row>
    <row r="69" spans="2:6" ht="16.5" x14ac:dyDescent="0.25">
      <c r="B69" s="2913"/>
      <c r="C69" s="2913"/>
      <c r="D69" s="1230" t="s">
        <v>77</v>
      </c>
      <c r="E69" s="1727">
        <f t="shared" si="0"/>
        <v>11154.609798</v>
      </c>
      <c r="F69" s="1727">
        <f t="shared" si="0"/>
        <v>10646.269821830001</v>
      </c>
    </row>
    <row r="70" spans="2:6" ht="16.5" x14ac:dyDescent="0.25">
      <c r="B70" s="2913"/>
      <c r="C70" s="2913"/>
      <c r="D70" s="1230" t="s">
        <v>11</v>
      </c>
      <c r="E70" s="1727">
        <f t="shared" si="0"/>
        <v>11041.711248768666</v>
      </c>
      <c r="F70" s="1727">
        <f t="shared" si="0"/>
        <v>10536.327054867666</v>
      </c>
    </row>
    <row r="71" spans="2:6" ht="16.5" x14ac:dyDescent="0.25">
      <c r="B71" s="2913"/>
      <c r="C71" s="2913"/>
      <c r="D71" s="1725" t="s">
        <v>382</v>
      </c>
      <c r="E71" s="1728">
        <f t="shared" si="0"/>
        <v>10566.789299</v>
      </c>
      <c r="F71" s="1728">
        <f t="shared" si="0"/>
        <v>10092.289109072</v>
      </c>
    </row>
    <row r="72" spans="2:6" ht="16.5" x14ac:dyDescent="0.25">
      <c r="B72" s="2913"/>
      <c r="C72" s="2913"/>
      <c r="D72" s="1230" t="s">
        <v>2384</v>
      </c>
      <c r="E72" s="1727">
        <f t="shared" si="0"/>
        <v>10185.879661000001</v>
      </c>
      <c r="F72" s="1727">
        <f t="shared" si="0"/>
        <v>9884.7501632590011</v>
      </c>
    </row>
    <row r="73" spans="2:6" ht="16.5" x14ac:dyDescent="0.25">
      <c r="B73" s="2913"/>
      <c r="C73" s="2913"/>
      <c r="D73" s="1725" t="s">
        <v>2479</v>
      </c>
      <c r="E73" s="1727">
        <f t="shared" si="0"/>
        <v>9732.6382215999984</v>
      </c>
      <c r="F73" s="1727">
        <f t="shared" si="0"/>
        <v>9471.4711920749996</v>
      </c>
    </row>
    <row r="74" spans="2:6" ht="16.5" x14ac:dyDescent="0.3">
      <c r="B74" s="2913" t="s">
        <v>397</v>
      </c>
      <c r="C74" s="2914" t="s">
        <v>398</v>
      </c>
      <c r="D74" s="1230" t="s">
        <v>8</v>
      </c>
      <c r="E74" s="1729">
        <v>18576.0180826084</v>
      </c>
      <c r="F74" s="1729">
        <v>18225.844947608392</v>
      </c>
    </row>
    <row r="75" spans="2:6" ht="16.5" x14ac:dyDescent="0.3">
      <c r="B75" s="2913"/>
      <c r="C75" s="2914"/>
      <c r="D75" s="1230" t="s">
        <v>9</v>
      </c>
      <c r="E75" s="1729">
        <v>17086.412942999999</v>
      </c>
      <c r="F75" s="1729">
        <v>16810.060331999997</v>
      </c>
    </row>
    <row r="76" spans="2:6" ht="16.5" x14ac:dyDescent="0.3">
      <c r="B76" s="2913"/>
      <c r="C76" s="2914"/>
      <c r="D76" s="1230" t="s">
        <v>77</v>
      </c>
      <c r="E76" s="1729">
        <v>15942.903045999999</v>
      </c>
      <c r="F76" s="1729">
        <v>15581.360791999999</v>
      </c>
    </row>
    <row r="77" spans="2:6" ht="16.5" x14ac:dyDescent="0.3">
      <c r="B77" s="2913"/>
      <c r="C77" s="2914"/>
      <c r="D77" s="1230" t="s">
        <v>11</v>
      </c>
      <c r="E77" s="1729">
        <v>15325.017900000001</v>
      </c>
      <c r="F77" s="1729">
        <v>15065.282447</v>
      </c>
    </row>
    <row r="78" spans="2:6" ht="16.5" x14ac:dyDescent="0.3">
      <c r="B78" s="2913"/>
      <c r="C78" s="2914"/>
      <c r="D78" s="1725" t="s">
        <v>382</v>
      </c>
      <c r="E78" s="1724">
        <v>14978.611725000001</v>
      </c>
      <c r="F78" s="1724">
        <v>14799.734602</v>
      </c>
    </row>
    <row r="79" spans="2:6" ht="16.5" x14ac:dyDescent="0.3">
      <c r="B79" s="2913"/>
      <c r="C79" s="2914"/>
      <c r="D79" s="1230" t="s">
        <v>2384</v>
      </c>
      <c r="E79" s="1724">
        <v>14701.431284999999</v>
      </c>
      <c r="F79" s="1724">
        <v>14560.753017000001</v>
      </c>
    </row>
    <row r="80" spans="2:6" ht="16.5" x14ac:dyDescent="0.3">
      <c r="B80" s="2913"/>
      <c r="C80" s="2914"/>
      <c r="D80" s="1725" t="s">
        <v>2479</v>
      </c>
      <c r="E80" s="1724">
        <v>14455.218999999999</v>
      </c>
      <c r="F80" s="1724">
        <v>14319.441000000001</v>
      </c>
    </row>
    <row r="81" spans="2:8" ht="16.5" x14ac:dyDescent="0.3">
      <c r="B81" s="2914" t="s">
        <v>236</v>
      </c>
      <c r="C81" s="2914"/>
      <c r="D81" s="1230" t="s">
        <v>8</v>
      </c>
      <c r="E81" s="1729">
        <v>2059.3670000000002</v>
      </c>
      <c r="F81" s="1729">
        <v>2005.9840000000002</v>
      </c>
    </row>
    <row r="82" spans="2:8" ht="16.5" x14ac:dyDescent="0.3">
      <c r="B82" s="2914"/>
      <c r="C82" s="2914"/>
      <c r="D82" s="1230" t="s">
        <v>9</v>
      </c>
      <c r="E82" s="1729">
        <v>1342.6399999999999</v>
      </c>
      <c r="F82" s="1729">
        <v>1303.2829999999999</v>
      </c>
    </row>
    <row r="83" spans="2:8" ht="16.5" x14ac:dyDescent="0.3">
      <c r="B83" s="2914"/>
      <c r="C83" s="2914"/>
      <c r="D83" s="1230" t="s">
        <v>77</v>
      </c>
      <c r="E83" s="1729">
        <v>6926.0060000000003</v>
      </c>
      <c r="F83" s="1729">
        <v>6903.5999999999995</v>
      </c>
    </row>
    <row r="84" spans="2:8" ht="16.5" x14ac:dyDescent="0.3">
      <c r="B84" s="2914"/>
      <c r="C84" s="2914"/>
      <c r="D84" s="1230" t="s">
        <v>11</v>
      </c>
      <c r="E84" s="1729">
        <v>8083.5429999999997</v>
      </c>
      <c r="F84" s="1729">
        <v>8062.6309999999985</v>
      </c>
    </row>
    <row r="85" spans="2:8" ht="16.5" x14ac:dyDescent="0.3">
      <c r="B85" s="2914"/>
      <c r="C85" s="2914"/>
      <c r="D85" s="1725" t="s">
        <v>382</v>
      </c>
      <c r="E85" s="1724">
        <v>10892.482</v>
      </c>
      <c r="F85" s="1724">
        <v>10824.908000000001</v>
      </c>
    </row>
    <row r="86" spans="2:8" ht="16.5" x14ac:dyDescent="0.3">
      <c r="B86" s="2914"/>
      <c r="C86" s="2914"/>
      <c r="D86" s="1230" t="s">
        <v>2384</v>
      </c>
      <c r="E86" s="1724">
        <v>11226.078000000001</v>
      </c>
      <c r="F86" s="1724">
        <v>11148.353000000001</v>
      </c>
    </row>
    <row r="87" spans="2:8" ht="16.5" x14ac:dyDescent="0.3">
      <c r="B87" s="2914"/>
      <c r="C87" s="2914"/>
      <c r="D87" s="1725" t="s">
        <v>2479</v>
      </c>
      <c r="E87" s="1724">
        <v>10587.81</v>
      </c>
      <c r="F87" s="1724">
        <v>10535.317999999999</v>
      </c>
    </row>
    <row r="88" spans="2:8" ht="16.5" x14ac:dyDescent="0.25">
      <c r="B88" s="2913" t="s">
        <v>399</v>
      </c>
      <c r="C88" s="2913" t="s">
        <v>398</v>
      </c>
      <c r="D88" s="1230" t="s">
        <v>8</v>
      </c>
      <c r="E88" s="1727">
        <f>E74+E81</f>
        <v>20635.385082608402</v>
      </c>
      <c r="F88" s="1727">
        <f>F74+F81</f>
        <v>20231.828947608392</v>
      </c>
    </row>
    <row r="89" spans="2:8" ht="16.5" x14ac:dyDescent="0.25">
      <c r="B89" s="2913"/>
      <c r="C89" s="2913"/>
      <c r="D89" s="1230" t="s">
        <v>9</v>
      </c>
      <c r="E89" s="1727">
        <f t="shared" ref="E89:F94" si="1">E75+E82</f>
        <v>18429.052942999999</v>
      </c>
      <c r="F89" s="1727">
        <f t="shared" si="1"/>
        <v>18113.343331999997</v>
      </c>
    </row>
    <row r="90" spans="2:8" ht="16.5" x14ac:dyDescent="0.25">
      <c r="B90" s="2913"/>
      <c r="C90" s="2913"/>
      <c r="D90" s="1230" t="s">
        <v>77</v>
      </c>
      <c r="E90" s="1727">
        <f t="shared" si="1"/>
        <v>22868.909046000001</v>
      </c>
      <c r="F90" s="1727">
        <f t="shared" si="1"/>
        <v>22484.960791999998</v>
      </c>
      <c r="H90" s="873"/>
    </row>
    <row r="91" spans="2:8" ht="16.5" x14ac:dyDescent="0.25">
      <c r="B91" s="2913"/>
      <c r="C91" s="2913"/>
      <c r="D91" s="1230" t="s">
        <v>11</v>
      </c>
      <c r="E91" s="1727">
        <f t="shared" si="1"/>
        <v>23408.5609</v>
      </c>
      <c r="F91" s="1727">
        <f t="shared" si="1"/>
        <v>23127.913446999999</v>
      </c>
    </row>
    <row r="92" spans="2:8" ht="16.5" x14ac:dyDescent="0.25">
      <c r="B92" s="2913"/>
      <c r="C92" s="2913"/>
      <c r="D92" s="1725" t="s">
        <v>382</v>
      </c>
      <c r="E92" s="1728">
        <f t="shared" si="1"/>
        <v>25871.093724999999</v>
      </c>
      <c r="F92" s="1728">
        <f t="shared" si="1"/>
        <v>25624.642602</v>
      </c>
    </row>
    <row r="93" spans="2:8" ht="16.5" x14ac:dyDescent="0.25">
      <c r="B93" s="2913"/>
      <c r="C93" s="2913"/>
      <c r="D93" s="1230" t="s">
        <v>2384</v>
      </c>
      <c r="E93" s="1727">
        <f>E79+E86</f>
        <v>25927.509285</v>
      </c>
      <c r="F93" s="1727">
        <f t="shared" si="1"/>
        <v>25709.106017000002</v>
      </c>
    </row>
    <row r="94" spans="2:8" ht="16.5" x14ac:dyDescent="0.25">
      <c r="B94" s="2913"/>
      <c r="C94" s="2913"/>
      <c r="D94" s="1725" t="s">
        <v>2479</v>
      </c>
      <c r="E94" s="1727">
        <f>E80+E87</f>
        <v>25043.028999999999</v>
      </c>
      <c r="F94" s="1727">
        <f t="shared" si="1"/>
        <v>24854.758999999998</v>
      </c>
    </row>
    <row r="95" spans="2:8" ht="16.5" x14ac:dyDescent="0.25">
      <c r="B95" s="2913" t="s">
        <v>334</v>
      </c>
      <c r="C95" s="2913" t="s">
        <v>400</v>
      </c>
      <c r="D95" s="1230" t="s">
        <v>8</v>
      </c>
      <c r="E95" s="1727">
        <f t="shared" ref="E95:F101" si="2">E67+E88</f>
        <v>31184.220809790218</v>
      </c>
      <c r="F95" s="1727">
        <f t="shared" si="2"/>
        <v>30256.518542647209</v>
      </c>
    </row>
    <row r="96" spans="2:8" ht="16.5" x14ac:dyDescent="0.25">
      <c r="B96" s="2913"/>
      <c r="C96" s="2913"/>
      <c r="D96" s="1230" t="s">
        <v>9</v>
      </c>
      <c r="E96" s="1727">
        <f t="shared" si="2"/>
        <v>28672.415463999998</v>
      </c>
      <c r="F96" s="1727">
        <f t="shared" si="2"/>
        <v>27783.752328956994</v>
      </c>
    </row>
    <row r="97" spans="2:6" ht="16.5" x14ac:dyDescent="0.25">
      <c r="B97" s="2913"/>
      <c r="C97" s="2913"/>
      <c r="D97" s="1230" t="s">
        <v>77</v>
      </c>
      <c r="E97" s="1727">
        <f t="shared" si="2"/>
        <v>34023.518843999998</v>
      </c>
      <c r="F97" s="1727">
        <f t="shared" si="2"/>
        <v>33131.230613829997</v>
      </c>
    </row>
    <row r="98" spans="2:6" ht="16.5" x14ac:dyDescent="0.25">
      <c r="B98" s="2913"/>
      <c r="C98" s="2913"/>
      <c r="D98" s="1725" t="s">
        <v>11</v>
      </c>
      <c r="E98" s="1728">
        <f t="shared" si="2"/>
        <v>34450.272148768665</v>
      </c>
      <c r="F98" s="1728">
        <f t="shared" si="2"/>
        <v>33664.240501867665</v>
      </c>
    </row>
    <row r="99" spans="2:6" ht="16.5" x14ac:dyDescent="0.25">
      <c r="B99" s="2913"/>
      <c r="C99" s="2913"/>
      <c r="D99" s="1230" t="s">
        <v>382</v>
      </c>
      <c r="E99" s="1727">
        <f t="shared" si="2"/>
        <v>36437.883023999995</v>
      </c>
      <c r="F99" s="1727">
        <f t="shared" si="2"/>
        <v>35716.931711072</v>
      </c>
    </row>
    <row r="100" spans="2:6" ht="16.5" x14ac:dyDescent="0.25">
      <c r="B100" s="2913"/>
      <c r="C100" s="2913"/>
      <c r="D100" s="1230" t="s">
        <v>2384</v>
      </c>
      <c r="E100" s="1727">
        <f t="shared" si="2"/>
        <v>36113.388945999999</v>
      </c>
      <c r="F100" s="1727">
        <f t="shared" si="2"/>
        <v>35593.856180259005</v>
      </c>
    </row>
    <row r="101" spans="2:6" ht="16.5" x14ac:dyDescent="0.25">
      <c r="B101" s="2913"/>
      <c r="C101" s="2913"/>
      <c r="D101" s="1725" t="s">
        <v>2479</v>
      </c>
      <c r="E101" s="1727">
        <f t="shared" si="2"/>
        <v>34775.667221600001</v>
      </c>
      <c r="F101" s="1727">
        <f t="shared" si="2"/>
        <v>34326.230192074996</v>
      </c>
    </row>
  </sheetData>
  <mergeCells count="21">
    <mergeCell ref="B2:F2"/>
    <mergeCell ref="B4:B8"/>
    <mergeCell ref="C4:C45"/>
    <mergeCell ref="B11:B17"/>
    <mergeCell ref="B18:B24"/>
    <mergeCell ref="B25:B31"/>
    <mergeCell ref="B32:B38"/>
    <mergeCell ref="B39:B45"/>
    <mergeCell ref="B95:B101"/>
    <mergeCell ref="C95:C101"/>
    <mergeCell ref="B46:B52"/>
    <mergeCell ref="C46:C66"/>
    <mergeCell ref="B53:B59"/>
    <mergeCell ref="B60:B66"/>
    <mergeCell ref="B67:B73"/>
    <mergeCell ref="C67:C73"/>
    <mergeCell ref="B74:B80"/>
    <mergeCell ref="C74:C87"/>
    <mergeCell ref="B81:B87"/>
    <mergeCell ref="B88:B94"/>
    <mergeCell ref="C88:C94"/>
  </mergeCells>
  <pageMargins left="0.7" right="0.7" top="0.75" bottom="0.75" header="0.3" footer="0.3"/>
  <pageSetup paperSize="9" orientation="portrait" verticalDpi="300"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A70536-8E1A-4C44-8493-40DC287FA1FD}">
  <sheetPr>
    <tabColor theme="0"/>
  </sheetPr>
  <dimension ref="B1:J355"/>
  <sheetViews>
    <sheetView view="pageLayout" topLeftCell="B15" zoomScale="70" zoomScaleNormal="100" zoomScaleSheetLayoutView="55" zoomScalePageLayoutView="70" workbookViewId="0">
      <selection activeCell="B58" sqref="B58:B89"/>
    </sheetView>
  </sheetViews>
  <sheetFormatPr defaultColWidth="9" defaultRowHeight="15" x14ac:dyDescent="0.25"/>
  <cols>
    <col min="1" max="1" width="0" style="1197" hidden="1" customWidth="1"/>
    <col min="2" max="2" width="25.7109375" style="1197" customWidth="1"/>
    <col min="3" max="3" width="48.5703125" style="1197" customWidth="1"/>
    <col min="4" max="4" width="34.7109375" style="1197" customWidth="1"/>
    <col min="5" max="5" width="21.140625" style="1731" customWidth="1"/>
    <col min="6" max="6" width="10.7109375" style="1197" bestFit="1" customWidth="1"/>
    <col min="7" max="7" width="16.5703125" style="1197" bestFit="1" customWidth="1"/>
    <col min="8" max="8" width="13.42578125" style="1197" customWidth="1"/>
    <col min="9" max="9" width="11.7109375" style="1197" customWidth="1"/>
    <col min="10" max="10" width="9" style="2130"/>
    <col min="11" max="16384" width="9" style="1197"/>
  </cols>
  <sheetData>
    <row r="1" spans="2:9" ht="18.75" x14ac:dyDescent="0.25">
      <c r="B1" s="2921" t="s">
        <v>2944</v>
      </c>
      <c r="C1" s="2921"/>
      <c r="D1" s="2921"/>
      <c r="E1" s="2921"/>
      <c r="F1" s="2921"/>
      <c r="G1" s="2921"/>
      <c r="H1" s="2921"/>
      <c r="I1" s="2921"/>
    </row>
    <row r="2" spans="2:9" ht="30" x14ac:dyDescent="0.25">
      <c r="B2" s="2131" t="s">
        <v>401</v>
      </c>
      <c r="C2" s="2131" t="s">
        <v>402</v>
      </c>
      <c r="D2" s="2131" t="s">
        <v>403</v>
      </c>
      <c r="E2" s="2132" t="s">
        <v>2945</v>
      </c>
      <c r="F2" s="2131" t="s">
        <v>813</v>
      </c>
      <c r="G2" s="2131" t="s">
        <v>951</v>
      </c>
      <c r="H2" s="2131" t="s">
        <v>952</v>
      </c>
      <c r="I2" s="2131" t="s">
        <v>953</v>
      </c>
    </row>
    <row r="3" spans="2:9" ht="15.75" x14ac:dyDescent="0.25">
      <c r="B3" s="2922" t="s">
        <v>221</v>
      </c>
      <c r="C3" s="2133" t="s">
        <v>404</v>
      </c>
      <c r="D3" s="2133" t="s">
        <v>405</v>
      </c>
      <c r="E3" s="2134">
        <v>43579</v>
      </c>
      <c r="F3" s="2133">
        <v>28</v>
      </c>
      <c r="G3" s="2133">
        <v>11160</v>
      </c>
      <c r="H3" s="2133">
        <v>28</v>
      </c>
      <c r="I3" s="2133">
        <v>2</v>
      </c>
    </row>
    <row r="4" spans="2:9" ht="15.75" x14ac:dyDescent="0.25">
      <c r="B4" s="2923"/>
      <c r="C4" s="2133" t="s">
        <v>406</v>
      </c>
      <c r="D4" s="2133" t="s">
        <v>407</v>
      </c>
      <c r="E4" s="2134">
        <v>42230</v>
      </c>
      <c r="F4" s="2133">
        <v>16</v>
      </c>
      <c r="G4" s="2133">
        <v>49800</v>
      </c>
      <c r="H4" s="2133">
        <v>20</v>
      </c>
      <c r="I4" s="2133">
        <v>1</v>
      </c>
    </row>
    <row r="5" spans="2:9" ht="15.75" x14ac:dyDescent="0.25">
      <c r="B5" s="2923"/>
      <c r="C5" s="2133" t="s">
        <v>408</v>
      </c>
      <c r="D5" s="2133" t="s">
        <v>409</v>
      </c>
      <c r="E5" s="2134">
        <v>39976</v>
      </c>
      <c r="F5" s="2133">
        <v>13</v>
      </c>
      <c r="G5" s="2133">
        <v>68929</v>
      </c>
      <c r="H5" s="2133">
        <v>213</v>
      </c>
      <c r="I5" s="2133">
        <v>5</v>
      </c>
    </row>
    <row r="6" spans="2:9" ht="15.75" x14ac:dyDescent="0.25">
      <c r="B6" s="2923"/>
      <c r="C6" s="2133" t="s">
        <v>410</v>
      </c>
      <c r="D6" s="2133" t="s">
        <v>411</v>
      </c>
      <c r="E6" s="2134">
        <v>42261</v>
      </c>
      <c r="F6" s="2133">
        <v>32</v>
      </c>
      <c r="G6" s="2133">
        <v>29621</v>
      </c>
      <c r="H6" s="2133">
        <v>150</v>
      </c>
      <c r="I6" s="2133">
        <v>26</v>
      </c>
    </row>
    <row r="7" spans="2:9" ht="15.75" x14ac:dyDescent="0.25">
      <c r="B7" s="2923"/>
      <c r="C7" s="2133" t="s">
        <v>814</v>
      </c>
      <c r="D7" s="2133" t="s">
        <v>414</v>
      </c>
      <c r="E7" s="2134">
        <v>44635</v>
      </c>
      <c r="F7" s="2133">
        <v>38</v>
      </c>
      <c r="G7" s="2133">
        <v>785</v>
      </c>
      <c r="H7" s="2133">
        <v>0</v>
      </c>
      <c r="I7" s="2133">
        <v>0</v>
      </c>
    </row>
    <row r="8" spans="2:9" ht="15.75" x14ac:dyDescent="0.25">
      <c r="B8" s="2923"/>
      <c r="C8" s="2133" t="s">
        <v>412</v>
      </c>
      <c r="D8" s="2133" t="s">
        <v>405</v>
      </c>
      <c r="E8" s="2134">
        <v>43579</v>
      </c>
      <c r="F8" s="2133">
        <v>20</v>
      </c>
      <c r="G8" s="2133">
        <v>6526</v>
      </c>
      <c r="H8" s="2133">
        <v>27</v>
      </c>
      <c r="I8" s="2133">
        <v>10</v>
      </c>
    </row>
    <row r="9" spans="2:9" ht="15.75" x14ac:dyDescent="0.25">
      <c r="B9" s="2923"/>
      <c r="C9" s="2133" t="s">
        <v>413</v>
      </c>
      <c r="D9" s="2133" t="s">
        <v>414</v>
      </c>
      <c r="E9" s="2134" t="s">
        <v>2664</v>
      </c>
      <c r="F9" s="2133">
        <v>25</v>
      </c>
      <c r="G9" s="2133">
        <v>6282</v>
      </c>
      <c r="H9" s="2133">
        <v>6</v>
      </c>
      <c r="I9" s="2133">
        <v>11</v>
      </c>
    </row>
    <row r="10" spans="2:9" ht="15.75" x14ac:dyDescent="0.25">
      <c r="B10" s="2923"/>
      <c r="C10" s="2133" t="s">
        <v>2433</v>
      </c>
      <c r="D10" s="2133" t="s">
        <v>409</v>
      </c>
      <c r="E10" s="2134">
        <v>40022</v>
      </c>
      <c r="F10" s="2133">
        <v>33</v>
      </c>
      <c r="G10" s="2133">
        <v>66838</v>
      </c>
      <c r="H10" s="2133">
        <v>132</v>
      </c>
      <c r="I10" s="2133">
        <v>2</v>
      </c>
    </row>
    <row r="11" spans="2:9" ht="15.75" x14ac:dyDescent="0.25">
      <c r="B11" s="2924"/>
      <c r="C11" s="2133" t="s">
        <v>415</v>
      </c>
      <c r="D11" s="2133" t="s">
        <v>407</v>
      </c>
      <c r="E11" s="2134">
        <v>42230</v>
      </c>
      <c r="F11" s="2133">
        <v>16</v>
      </c>
      <c r="G11" s="2133">
        <v>51107</v>
      </c>
      <c r="H11" s="2133">
        <v>6</v>
      </c>
      <c r="I11" s="2133">
        <v>3</v>
      </c>
    </row>
    <row r="12" spans="2:9" ht="15.75" x14ac:dyDescent="0.25">
      <c r="B12" s="2920" t="s">
        <v>416</v>
      </c>
      <c r="C12" s="2920"/>
      <c r="D12" s="2920"/>
      <c r="E12" s="1730"/>
      <c r="F12" s="2135">
        <f>SUM(F3:F11)</f>
        <v>221</v>
      </c>
      <c r="G12" s="2135">
        <f>SUM(G3:G11)</f>
        <v>291048</v>
      </c>
      <c r="H12" s="2135">
        <f>SUM(H3:H11)</f>
        <v>582</v>
      </c>
      <c r="I12" s="2135">
        <f>SUM(I3:I11)</f>
        <v>60</v>
      </c>
    </row>
    <row r="13" spans="2:9" ht="15.75" x14ac:dyDescent="0.25">
      <c r="B13" s="2133" t="s">
        <v>417</v>
      </c>
      <c r="C13" s="2133" t="s">
        <v>418</v>
      </c>
      <c r="D13" s="2133" t="s">
        <v>405</v>
      </c>
      <c r="E13" s="2134" t="s">
        <v>2665</v>
      </c>
      <c r="F13" s="2133">
        <v>51</v>
      </c>
      <c r="G13" s="2133">
        <v>18863</v>
      </c>
      <c r="H13" s="2133">
        <v>43</v>
      </c>
      <c r="I13" s="2133">
        <v>37</v>
      </c>
    </row>
    <row r="14" spans="2:9" ht="15.75" x14ac:dyDescent="0.25">
      <c r="B14" s="2920" t="s">
        <v>419</v>
      </c>
      <c r="C14" s="2920"/>
      <c r="D14" s="2920"/>
      <c r="E14" s="2136"/>
      <c r="F14" s="2135">
        <v>51</v>
      </c>
      <c r="G14" s="2135">
        <v>18863</v>
      </c>
      <c r="H14" s="2135">
        <v>43</v>
      </c>
      <c r="I14" s="2135">
        <v>37</v>
      </c>
    </row>
    <row r="15" spans="2:9" ht="15.75" x14ac:dyDescent="0.25">
      <c r="B15" s="2922" t="s">
        <v>331</v>
      </c>
      <c r="C15" s="2133" t="s">
        <v>815</v>
      </c>
      <c r="D15" s="2133" t="s">
        <v>472</v>
      </c>
      <c r="E15" s="2134" t="s">
        <v>2666</v>
      </c>
      <c r="F15" s="2133">
        <v>9</v>
      </c>
      <c r="G15" s="2133">
        <v>0</v>
      </c>
      <c r="H15" s="2133">
        <v>0</v>
      </c>
      <c r="I15" s="2133">
        <v>0</v>
      </c>
    </row>
    <row r="16" spans="2:9" ht="15.75" x14ac:dyDescent="0.25">
      <c r="B16" s="2923"/>
      <c r="C16" s="2133" t="s">
        <v>420</v>
      </c>
      <c r="D16" s="2133" t="s">
        <v>421</v>
      </c>
      <c r="E16" s="2134" t="s">
        <v>2667</v>
      </c>
      <c r="F16" s="2133">
        <v>2</v>
      </c>
      <c r="G16" s="2133">
        <v>4004</v>
      </c>
      <c r="H16" s="2133">
        <v>20</v>
      </c>
      <c r="I16" s="2133">
        <v>3</v>
      </c>
    </row>
    <row r="17" spans="2:9" ht="15.75" x14ac:dyDescent="0.25">
      <c r="B17" s="2923"/>
      <c r="C17" s="2133" t="s">
        <v>422</v>
      </c>
      <c r="D17" s="2133" t="s">
        <v>421</v>
      </c>
      <c r="E17" s="2134" t="s">
        <v>2668</v>
      </c>
      <c r="F17" s="2133">
        <v>8</v>
      </c>
      <c r="G17" s="2133">
        <v>6872</v>
      </c>
      <c r="H17" s="2133">
        <v>0</v>
      </c>
      <c r="I17" s="2133">
        <v>0</v>
      </c>
    </row>
    <row r="18" spans="2:9" ht="15.75" x14ac:dyDescent="0.25">
      <c r="B18" s="2923"/>
      <c r="C18" s="2133" t="s">
        <v>816</v>
      </c>
      <c r="D18" s="2133" t="s">
        <v>472</v>
      </c>
      <c r="E18" s="2134" t="s">
        <v>2666</v>
      </c>
      <c r="F18" s="2133">
        <v>6</v>
      </c>
      <c r="G18" s="2133">
        <v>0</v>
      </c>
      <c r="H18" s="2133">
        <v>0</v>
      </c>
      <c r="I18" s="2133">
        <v>0</v>
      </c>
    </row>
    <row r="19" spans="2:9" ht="15.75" x14ac:dyDescent="0.25">
      <c r="B19" s="2923"/>
      <c r="C19" s="2133" t="s">
        <v>2347</v>
      </c>
      <c r="D19" s="2133" t="s">
        <v>2946</v>
      </c>
      <c r="E19" s="2134" t="s">
        <v>2669</v>
      </c>
      <c r="F19" s="2133">
        <v>1</v>
      </c>
      <c r="G19" s="2133">
        <v>20</v>
      </c>
      <c r="H19" s="2133">
        <v>0</v>
      </c>
      <c r="I19" s="2133">
        <v>0</v>
      </c>
    </row>
    <row r="20" spans="2:9" ht="15.75" x14ac:dyDescent="0.25">
      <c r="B20" s="2923"/>
      <c r="C20" s="2133" t="s">
        <v>817</v>
      </c>
      <c r="D20" s="2133" t="s">
        <v>472</v>
      </c>
      <c r="E20" s="2134" t="s">
        <v>2670</v>
      </c>
      <c r="F20" s="2133">
        <v>9</v>
      </c>
      <c r="G20" s="2133">
        <v>0</v>
      </c>
      <c r="H20" s="2133">
        <v>0</v>
      </c>
      <c r="I20" s="2133">
        <v>0</v>
      </c>
    </row>
    <row r="21" spans="2:9" ht="15.75" x14ac:dyDescent="0.25">
      <c r="B21" s="2923"/>
      <c r="C21" s="2133" t="s">
        <v>423</v>
      </c>
      <c r="D21" s="2133" t="s">
        <v>424</v>
      </c>
      <c r="E21" s="2134">
        <v>42041</v>
      </c>
      <c r="F21" s="2133">
        <v>10</v>
      </c>
      <c r="G21" s="2133">
        <v>63420</v>
      </c>
      <c r="H21" s="2133">
        <v>1500</v>
      </c>
      <c r="I21" s="2133">
        <v>484</v>
      </c>
    </row>
    <row r="22" spans="2:9" ht="15.75" x14ac:dyDescent="0.25">
      <c r="B22" s="2920" t="s">
        <v>425</v>
      </c>
      <c r="C22" s="2920"/>
      <c r="D22" s="2920"/>
      <c r="E22" s="2136"/>
      <c r="F22" s="2135">
        <v>45</v>
      </c>
      <c r="G22" s="2135">
        <v>74316</v>
      </c>
      <c r="H22" s="2135">
        <v>1520</v>
      </c>
      <c r="I22" s="2135">
        <v>487</v>
      </c>
    </row>
    <row r="23" spans="2:9" ht="15.75" x14ac:dyDescent="0.25">
      <c r="B23" s="2922" t="s">
        <v>426</v>
      </c>
      <c r="C23" s="2133" t="s">
        <v>427</v>
      </c>
      <c r="D23" s="2133" t="s">
        <v>414</v>
      </c>
      <c r="E23" s="2134" t="s">
        <v>2671</v>
      </c>
      <c r="F23" s="2133">
        <v>11</v>
      </c>
      <c r="G23" s="2133">
        <v>14978</v>
      </c>
      <c r="H23" s="2133">
        <v>6</v>
      </c>
      <c r="I23" s="2133">
        <v>4</v>
      </c>
    </row>
    <row r="24" spans="2:9" ht="15.75" x14ac:dyDescent="0.25">
      <c r="B24" s="2923"/>
      <c r="C24" s="2133" t="s">
        <v>428</v>
      </c>
      <c r="D24" s="2133" t="s">
        <v>414</v>
      </c>
      <c r="E24" s="2134">
        <v>43553</v>
      </c>
      <c r="F24" s="2133">
        <v>13</v>
      </c>
      <c r="G24" s="2133">
        <v>16825</v>
      </c>
      <c r="H24" s="2133">
        <v>35</v>
      </c>
      <c r="I24" s="2133">
        <v>3</v>
      </c>
    </row>
    <row r="25" spans="2:9" ht="15.75" x14ac:dyDescent="0.25">
      <c r="B25" s="2923"/>
      <c r="C25" s="2133" t="s">
        <v>429</v>
      </c>
      <c r="D25" s="2133" t="s">
        <v>414</v>
      </c>
      <c r="E25" s="2134">
        <v>43349</v>
      </c>
      <c r="F25" s="2133">
        <v>16</v>
      </c>
      <c r="G25" s="2133">
        <v>5030</v>
      </c>
      <c r="H25" s="2133">
        <v>36</v>
      </c>
      <c r="I25" s="2133">
        <v>1</v>
      </c>
    </row>
    <row r="26" spans="2:9" ht="15.75" x14ac:dyDescent="0.25">
      <c r="B26" s="2923"/>
      <c r="C26" s="2133" t="s">
        <v>430</v>
      </c>
      <c r="D26" s="2133" t="s">
        <v>431</v>
      </c>
      <c r="E26" s="2134">
        <v>43363</v>
      </c>
      <c r="F26" s="2133">
        <v>10</v>
      </c>
      <c r="G26" s="2133">
        <v>7372</v>
      </c>
      <c r="H26" s="2133">
        <v>22</v>
      </c>
      <c r="I26" s="2133">
        <v>11</v>
      </c>
    </row>
    <row r="27" spans="2:9" ht="15.75" x14ac:dyDescent="0.25">
      <c r="B27" s="2923"/>
      <c r="C27" s="2133" t="s">
        <v>432</v>
      </c>
      <c r="D27" s="2133" t="s">
        <v>433</v>
      </c>
      <c r="E27" s="2134">
        <v>44635</v>
      </c>
      <c r="F27" s="2133">
        <v>26</v>
      </c>
      <c r="G27" s="2133">
        <v>51631</v>
      </c>
      <c r="H27" s="2133">
        <v>0</v>
      </c>
      <c r="I27" s="2133">
        <v>0</v>
      </c>
    </row>
    <row r="28" spans="2:9" ht="15.75" x14ac:dyDescent="0.25">
      <c r="B28" s="2923"/>
      <c r="C28" s="2133" t="s">
        <v>434</v>
      </c>
      <c r="D28" s="2133" t="s">
        <v>2947</v>
      </c>
      <c r="E28" s="2134">
        <v>43363</v>
      </c>
      <c r="F28" s="2133">
        <v>27</v>
      </c>
      <c r="G28" s="2133">
        <v>5140</v>
      </c>
      <c r="H28" s="2133">
        <v>33</v>
      </c>
      <c r="I28" s="2133">
        <v>2</v>
      </c>
    </row>
    <row r="29" spans="2:9" ht="15.75" x14ac:dyDescent="0.25">
      <c r="B29" s="2923"/>
      <c r="C29" s="2133" t="s">
        <v>436</v>
      </c>
      <c r="D29" s="2133" t="s">
        <v>414</v>
      </c>
      <c r="E29" s="2134" t="s">
        <v>2671</v>
      </c>
      <c r="F29" s="2133">
        <v>7</v>
      </c>
      <c r="G29" s="2133">
        <v>4404</v>
      </c>
      <c r="H29" s="2133">
        <v>2</v>
      </c>
      <c r="I29" s="2133">
        <v>0</v>
      </c>
    </row>
    <row r="30" spans="2:9" ht="15.75" x14ac:dyDescent="0.25">
      <c r="B30" s="2923"/>
      <c r="C30" s="2133" t="s">
        <v>437</v>
      </c>
      <c r="D30" s="2133" t="s">
        <v>414</v>
      </c>
      <c r="E30" s="2134">
        <v>43553</v>
      </c>
      <c r="F30" s="2133">
        <v>12</v>
      </c>
      <c r="G30" s="2133">
        <v>12861</v>
      </c>
      <c r="H30" s="2133">
        <v>29</v>
      </c>
      <c r="I30" s="2133">
        <v>1</v>
      </c>
    </row>
    <row r="31" spans="2:9" ht="15.75" x14ac:dyDescent="0.25">
      <c r="B31" s="2923"/>
      <c r="C31" s="2133" t="s">
        <v>438</v>
      </c>
      <c r="D31" s="2133" t="s">
        <v>414</v>
      </c>
      <c r="E31" s="2134">
        <v>43553</v>
      </c>
      <c r="F31" s="2133">
        <v>48</v>
      </c>
      <c r="G31" s="2133">
        <v>54099</v>
      </c>
      <c r="H31" s="2133">
        <v>42</v>
      </c>
      <c r="I31" s="2133">
        <v>18</v>
      </c>
    </row>
    <row r="32" spans="2:9" ht="15.75" x14ac:dyDescent="0.25">
      <c r="B32" s="2924"/>
      <c r="C32" s="2133" t="s">
        <v>439</v>
      </c>
      <c r="D32" s="2133" t="s">
        <v>440</v>
      </c>
      <c r="E32" s="2134">
        <v>43166</v>
      </c>
      <c r="F32" s="2133">
        <v>38</v>
      </c>
      <c r="G32" s="2133">
        <v>100561</v>
      </c>
      <c r="H32" s="2133">
        <v>94</v>
      </c>
      <c r="I32" s="2133">
        <v>14</v>
      </c>
    </row>
    <row r="33" spans="2:9" ht="15.75" x14ac:dyDescent="0.25">
      <c r="B33" s="2920" t="s">
        <v>441</v>
      </c>
      <c r="C33" s="2920"/>
      <c r="D33" s="2920"/>
      <c r="E33" s="2136"/>
      <c r="F33" s="2135">
        <v>208</v>
      </c>
      <c r="G33" s="2135">
        <v>272901</v>
      </c>
      <c r="H33" s="2135">
        <v>299</v>
      </c>
      <c r="I33" s="2135">
        <v>54</v>
      </c>
    </row>
    <row r="34" spans="2:9" ht="15.75" x14ac:dyDescent="0.25">
      <c r="B34" s="2922" t="s">
        <v>442</v>
      </c>
      <c r="C34" s="2133" t="s">
        <v>818</v>
      </c>
      <c r="D34" s="2133" t="s">
        <v>529</v>
      </c>
      <c r="E34" s="2134">
        <v>44726</v>
      </c>
      <c r="F34" s="2133">
        <v>29</v>
      </c>
      <c r="G34" s="2133">
        <v>1882</v>
      </c>
      <c r="H34" s="2133">
        <v>0</v>
      </c>
      <c r="I34" s="2133">
        <v>0</v>
      </c>
    </row>
    <row r="35" spans="2:9" ht="15.75" x14ac:dyDescent="0.25">
      <c r="B35" s="2923"/>
      <c r="C35" s="2133" t="s">
        <v>443</v>
      </c>
      <c r="D35" s="2133" t="s">
        <v>414</v>
      </c>
      <c r="E35" s="2134" t="s">
        <v>2671</v>
      </c>
      <c r="F35" s="2133">
        <v>5</v>
      </c>
      <c r="G35" s="2133">
        <v>2876</v>
      </c>
      <c r="H35" s="2133">
        <v>5</v>
      </c>
      <c r="I35" s="2133">
        <v>0</v>
      </c>
    </row>
    <row r="36" spans="2:9" ht="15.75" x14ac:dyDescent="0.25">
      <c r="B36" s="2923"/>
      <c r="C36" s="2133" t="s">
        <v>444</v>
      </c>
      <c r="D36" s="2133" t="s">
        <v>414</v>
      </c>
      <c r="E36" s="2134">
        <v>43553</v>
      </c>
      <c r="F36" s="2133">
        <v>8</v>
      </c>
      <c r="G36" s="2133">
        <v>10014</v>
      </c>
      <c r="H36" s="2133">
        <v>24</v>
      </c>
      <c r="I36" s="2133">
        <v>1</v>
      </c>
    </row>
    <row r="37" spans="2:9" ht="15.75" x14ac:dyDescent="0.25">
      <c r="B37" s="2920" t="s">
        <v>445</v>
      </c>
      <c r="C37" s="2920"/>
      <c r="D37" s="2920"/>
      <c r="E37" s="2136"/>
      <c r="F37" s="2135">
        <v>42</v>
      </c>
      <c r="G37" s="2135">
        <v>14772</v>
      </c>
      <c r="H37" s="2135">
        <v>29</v>
      </c>
      <c r="I37" s="2135">
        <v>1</v>
      </c>
    </row>
    <row r="38" spans="2:9" ht="15.75" x14ac:dyDescent="0.25">
      <c r="B38" s="2137" t="s">
        <v>446</v>
      </c>
      <c r="C38" s="2133" t="s">
        <v>447</v>
      </c>
      <c r="D38" s="2133" t="s">
        <v>433</v>
      </c>
      <c r="E38" s="2134">
        <v>44685</v>
      </c>
      <c r="F38" s="2133">
        <v>36</v>
      </c>
      <c r="G38" s="2133">
        <v>59278</v>
      </c>
      <c r="H38" s="2133">
        <v>0</v>
      </c>
      <c r="I38" s="2133">
        <v>0</v>
      </c>
    </row>
    <row r="39" spans="2:9" ht="15.75" x14ac:dyDescent="0.25">
      <c r="B39" s="2920" t="s">
        <v>448</v>
      </c>
      <c r="C39" s="2920"/>
      <c r="D39" s="2920"/>
      <c r="E39" s="2136"/>
      <c r="F39" s="2135">
        <v>36</v>
      </c>
      <c r="G39" s="2135">
        <v>59278</v>
      </c>
      <c r="H39" s="2135">
        <v>0</v>
      </c>
      <c r="I39" s="2135">
        <v>0</v>
      </c>
    </row>
    <row r="40" spans="2:9" ht="15.75" x14ac:dyDescent="0.25">
      <c r="B40" s="2133" t="s">
        <v>449</v>
      </c>
      <c r="C40" s="2133" t="s">
        <v>450</v>
      </c>
      <c r="D40" s="2133" t="s">
        <v>2947</v>
      </c>
      <c r="E40" s="2134">
        <v>41402</v>
      </c>
      <c r="F40" s="2133">
        <v>36</v>
      </c>
      <c r="G40" s="2133">
        <v>33295</v>
      </c>
      <c r="H40" s="2133">
        <v>265</v>
      </c>
      <c r="I40" s="2133">
        <v>95</v>
      </c>
    </row>
    <row r="41" spans="2:9" ht="15.75" x14ac:dyDescent="0.25">
      <c r="B41" s="2920" t="s">
        <v>451</v>
      </c>
      <c r="C41" s="2920"/>
      <c r="D41" s="2920"/>
      <c r="E41" s="2136"/>
      <c r="F41" s="2135">
        <v>36</v>
      </c>
      <c r="G41" s="2135">
        <v>33295</v>
      </c>
      <c r="H41" s="2135">
        <v>265</v>
      </c>
      <c r="I41" s="2135">
        <v>95</v>
      </c>
    </row>
    <row r="42" spans="2:9" ht="15.75" x14ac:dyDescent="0.25">
      <c r="B42" s="2922" t="s">
        <v>452</v>
      </c>
      <c r="C42" s="2133" t="s">
        <v>2348</v>
      </c>
      <c r="D42" s="2133" t="s">
        <v>2349</v>
      </c>
      <c r="E42" s="2134" t="s">
        <v>2672</v>
      </c>
      <c r="F42" s="2133">
        <v>8</v>
      </c>
      <c r="G42" s="2133">
        <v>9</v>
      </c>
      <c r="H42" s="2133">
        <v>0</v>
      </c>
      <c r="I42" s="2133">
        <v>1</v>
      </c>
    </row>
    <row r="43" spans="2:9" ht="15.75" x14ac:dyDescent="0.25">
      <c r="B43" s="2923"/>
      <c r="C43" s="2133" t="s">
        <v>819</v>
      </c>
      <c r="D43" s="2133" t="s">
        <v>472</v>
      </c>
      <c r="E43" s="2134" t="s">
        <v>2673</v>
      </c>
      <c r="F43" s="2133">
        <v>7</v>
      </c>
      <c r="G43" s="2133">
        <v>0</v>
      </c>
      <c r="H43" s="2133">
        <v>0</v>
      </c>
      <c r="I43" s="2133">
        <v>0</v>
      </c>
    </row>
    <row r="44" spans="2:9" ht="15.75" x14ac:dyDescent="0.25">
      <c r="B44" s="2923"/>
      <c r="C44" s="2133" t="s">
        <v>820</v>
      </c>
      <c r="D44" s="2133" t="s">
        <v>472</v>
      </c>
      <c r="E44" s="2134" t="s">
        <v>2674</v>
      </c>
      <c r="F44" s="2133">
        <v>10</v>
      </c>
      <c r="G44" s="2133">
        <v>0</v>
      </c>
      <c r="H44" s="2133">
        <v>0</v>
      </c>
      <c r="I44" s="2133">
        <v>0</v>
      </c>
    </row>
    <row r="45" spans="2:9" ht="15.75" x14ac:dyDescent="0.25">
      <c r="B45" s="2923"/>
      <c r="C45" s="2133" t="s">
        <v>2350</v>
      </c>
      <c r="D45" s="2133" t="s">
        <v>527</v>
      </c>
      <c r="E45" s="2134">
        <v>44725</v>
      </c>
      <c r="F45" s="2133">
        <v>2</v>
      </c>
      <c r="G45" s="2133">
        <v>230</v>
      </c>
      <c r="H45" s="2133">
        <v>0</v>
      </c>
      <c r="I45" s="2133">
        <v>0</v>
      </c>
    </row>
    <row r="46" spans="2:9" ht="15.75" x14ac:dyDescent="0.25">
      <c r="B46" s="2923"/>
      <c r="C46" s="2133" t="s">
        <v>453</v>
      </c>
      <c r="D46" s="2133" t="s">
        <v>433</v>
      </c>
      <c r="E46" s="2134">
        <v>44726</v>
      </c>
      <c r="F46" s="2133">
        <v>20</v>
      </c>
      <c r="G46" s="2133">
        <v>19557</v>
      </c>
      <c r="H46" s="2133">
        <v>0</v>
      </c>
      <c r="I46" s="2133">
        <v>0</v>
      </c>
    </row>
    <row r="47" spans="2:9" ht="15.75" x14ac:dyDescent="0.25">
      <c r="B47" s="2924"/>
      <c r="C47" s="2133" t="s">
        <v>821</v>
      </c>
      <c r="D47" s="2133" t="s">
        <v>472</v>
      </c>
      <c r="E47" s="2134" t="s">
        <v>2674</v>
      </c>
      <c r="F47" s="2133">
        <v>20</v>
      </c>
      <c r="G47" s="2133">
        <v>0</v>
      </c>
      <c r="H47" s="2133">
        <v>0</v>
      </c>
      <c r="I47" s="2133">
        <v>0</v>
      </c>
    </row>
    <row r="48" spans="2:9" ht="15.75" x14ac:dyDescent="0.25">
      <c r="B48" s="2920" t="s">
        <v>454</v>
      </c>
      <c r="C48" s="2920"/>
      <c r="D48" s="2920"/>
      <c r="E48" s="2136"/>
      <c r="F48" s="2135">
        <v>67</v>
      </c>
      <c r="G48" s="2135">
        <v>19796</v>
      </c>
      <c r="H48" s="2135">
        <v>0</v>
      </c>
      <c r="I48" s="2135">
        <v>1</v>
      </c>
    </row>
    <row r="49" spans="2:9" ht="15.75" x14ac:dyDescent="0.25">
      <c r="B49" s="2133" t="s">
        <v>455</v>
      </c>
      <c r="C49" s="2133" t="s">
        <v>456</v>
      </c>
      <c r="D49" s="2133" t="s">
        <v>457</v>
      </c>
      <c r="E49" s="2134">
        <v>42095</v>
      </c>
      <c r="F49" s="2133">
        <v>6</v>
      </c>
      <c r="G49" s="2133">
        <v>14506</v>
      </c>
      <c r="H49" s="2133">
        <v>68</v>
      </c>
      <c r="I49" s="2133">
        <v>70</v>
      </c>
    </row>
    <row r="50" spans="2:9" ht="15.75" x14ac:dyDescent="0.25">
      <c r="B50" s="2920" t="s">
        <v>458</v>
      </c>
      <c r="C50" s="2920"/>
      <c r="D50" s="2920"/>
      <c r="E50" s="2136"/>
      <c r="F50" s="2135">
        <v>6</v>
      </c>
      <c r="G50" s="2135">
        <v>14506</v>
      </c>
      <c r="H50" s="2135">
        <v>68</v>
      </c>
      <c r="I50" s="2135">
        <v>70</v>
      </c>
    </row>
    <row r="51" spans="2:9" ht="15.75" x14ac:dyDescent="0.25">
      <c r="B51" s="2133" t="s">
        <v>459</v>
      </c>
      <c r="C51" s="2133" t="s">
        <v>460</v>
      </c>
      <c r="D51" s="2133" t="s">
        <v>2947</v>
      </c>
      <c r="E51" s="2134">
        <v>42095</v>
      </c>
      <c r="F51" s="2133">
        <v>5</v>
      </c>
      <c r="G51" s="2133">
        <v>5353</v>
      </c>
      <c r="H51" s="2133">
        <v>107</v>
      </c>
      <c r="I51" s="2133">
        <v>65</v>
      </c>
    </row>
    <row r="52" spans="2:9" ht="15.75" x14ac:dyDescent="0.25">
      <c r="B52" s="2920" t="s">
        <v>461</v>
      </c>
      <c r="C52" s="2920"/>
      <c r="D52" s="2920"/>
      <c r="E52" s="2136"/>
      <c r="F52" s="2135">
        <v>5</v>
      </c>
      <c r="G52" s="2135">
        <v>5353</v>
      </c>
      <c r="H52" s="2135">
        <v>107</v>
      </c>
      <c r="I52" s="2135">
        <v>65</v>
      </c>
    </row>
    <row r="53" spans="2:9" ht="15.75" x14ac:dyDescent="0.25">
      <c r="B53" s="2133" t="s">
        <v>462</v>
      </c>
      <c r="C53" s="2133" t="s">
        <v>463</v>
      </c>
      <c r="D53" s="2133" t="s">
        <v>464</v>
      </c>
      <c r="E53" s="2134">
        <v>43368</v>
      </c>
      <c r="F53" s="2133">
        <v>21</v>
      </c>
      <c r="G53" s="2133">
        <v>11171</v>
      </c>
      <c r="H53" s="2133">
        <v>73</v>
      </c>
      <c r="I53" s="2133">
        <v>0</v>
      </c>
    </row>
    <row r="54" spans="2:9" ht="15.75" x14ac:dyDescent="0.25">
      <c r="B54" s="2920" t="s">
        <v>465</v>
      </c>
      <c r="C54" s="2920"/>
      <c r="D54" s="2920"/>
      <c r="E54" s="2136"/>
      <c r="F54" s="2135">
        <v>21</v>
      </c>
      <c r="G54" s="2135">
        <v>11171</v>
      </c>
      <c r="H54" s="2135">
        <v>73</v>
      </c>
      <c r="I54" s="2135">
        <v>0</v>
      </c>
    </row>
    <row r="55" spans="2:9" ht="15.75" x14ac:dyDescent="0.25">
      <c r="B55" s="2922" t="s">
        <v>466</v>
      </c>
      <c r="C55" s="2133" t="s">
        <v>467</v>
      </c>
      <c r="D55" s="2133" t="s">
        <v>468</v>
      </c>
      <c r="E55" s="2134">
        <v>42545</v>
      </c>
      <c r="F55" s="2133">
        <v>7</v>
      </c>
      <c r="G55" s="2133">
        <v>11648</v>
      </c>
      <c r="H55" s="2133">
        <v>57</v>
      </c>
      <c r="I55" s="2133">
        <v>38</v>
      </c>
    </row>
    <row r="56" spans="2:9" ht="15.75" x14ac:dyDescent="0.25">
      <c r="B56" s="2923"/>
      <c r="C56" s="2133" t="s">
        <v>469</v>
      </c>
      <c r="D56" s="2133" t="s">
        <v>2947</v>
      </c>
      <c r="E56" s="2134">
        <v>43138</v>
      </c>
      <c r="F56" s="2133">
        <v>8</v>
      </c>
      <c r="G56" s="2133">
        <v>8437</v>
      </c>
      <c r="H56" s="2133">
        <v>13</v>
      </c>
      <c r="I56" s="2133">
        <v>22</v>
      </c>
    </row>
    <row r="57" spans="2:9" ht="15.75" x14ac:dyDescent="0.25">
      <c r="B57" s="2920" t="s">
        <v>470</v>
      </c>
      <c r="C57" s="2920"/>
      <c r="D57" s="2920"/>
      <c r="E57" s="2136"/>
      <c r="F57" s="2135">
        <v>15</v>
      </c>
      <c r="G57" s="2135">
        <v>20085</v>
      </c>
      <c r="H57" s="2135">
        <v>70</v>
      </c>
      <c r="I57" s="2135">
        <v>60</v>
      </c>
    </row>
    <row r="58" spans="2:9" ht="15.75" x14ac:dyDescent="0.25">
      <c r="B58" s="2922" t="s">
        <v>822</v>
      </c>
      <c r="C58" s="2133" t="s">
        <v>823</v>
      </c>
      <c r="D58" s="2133" t="s">
        <v>529</v>
      </c>
      <c r="E58" s="2134" t="s">
        <v>2675</v>
      </c>
      <c r="F58" s="2133">
        <v>22</v>
      </c>
      <c r="G58" s="2133">
        <v>0</v>
      </c>
      <c r="H58" s="2133">
        <v>0</v>
      </c>
      <c r="I58" s="2133">
        <v>0</v>
      </c>
    </row>
    <row r="59" spans="2:9" ht="15.75" x14ac:dyDescent="0.25">
      <c r="B59" s="2923"/>
      <c r="C59" s="2133" t="s">
        <v>471</v>
      </c>
      <c r="D59" s="2133" t="s">
        <v>472</v>
      </c>
      <c r="E59" s="2134">
        <v>41606</v>
      </c>
      <c r="F59" s="2133">
        <v>87</v>
      </c>
      <c r="G59" s="2133">
        <v>761132</v>
      </c>
      <c r="H59" s="2133">
        <v>3765</v>
      </c>
      <c r="I59" s="2133">
        <v>821</v>
      </c>
    </row>
    <row r="60" spans="2:9" ht="15.75" x14ac:dyDescent="0.25">
      <c r="B60" s="2923"/>
      <c r="C60" s="2133" t="s">
        <v>473</v>
      </c>
      <c r="D60" s="2133" t="s">
        <v>457</v>
      </c>
      <c r="E60" s="2134" t="s">
        <v>2676</v>
      </c>
      <c r="F60" s="2133">
        <v>29</v>
      </c>
      <c r="G60" s="2133">
        <v>26592</v>
      </c>
      <c r="H60" s="2133">
        <v>72</v>
      </c>
      <c r="I60" s="2133">
        <v>54</v>
      </c>
    </row>
    <row r="61" spans="2:9" ht="15.75" x14ac:dyDescent="0.25">
      <c r="B61" s="2923"/>
      <c r="C61" s="2133" t="s">
        <v>474</v>
      </c>
      <c r="D61" s="2133" t="s">
        <v>457</v>
      </c>
      <c r="E61" s="2134">
        <v>42517</v>
      </c>
      <c r="F61" s="2133">
        <v>15</v>
      </c>
      <c r="G61" s="2133">
        <v>19196</v>
      </c>
      <c r="H61" s="2133">
        <v>62</v>
      </c>
      <c r="I61" s="2133">
        <v>6</v>
      </c>
    </row>
    <row r="62" spans="2:9" ht="15.75" x14ac:dyDescent="0.25">
      <c r="B62" s="2923"/>
      <c r="C62" s="2133" t="s">
        <v>475</v>
      </c>
      <c r="D62" s="2133" t="s">
        <v>476</v>
      </c>
      <c r="E62" s="2134">
        <v>42136</v>
      </c>
      <c r="F62" s="2133">
        <v>15</v>
      </c>
      <c r="G62" s="2133">
        <v>55064</v>
      </c>
      <c r="H62" s="2133">
        <v>798</v>
      </c>
      <c r="I62" s="2133">
        <v>173</v>
      </c>
    </row>
    <row r="63" spans="2:9" ht="15.75" x14ac:dyDescent="0.25">
      <c r="B63" s="2923"/>
      <c r="C63" s="2133" t="s">
        <v>477</v>
      </c>
      <c r="D63" s="2133" t="s">
        <v>457</v>
      </c>
      <c r="E63" s="2134">
        <v>42555</v>
      </c>
      <c r="F63" s="2133">
        <v>29</v>
      </c>
      <c r="G63" s="2133">
        <v>47281</v>
      </c>
      <c r="H63" s="2133">
        <v>506</v>
      </c>
      <c r="I63" s="2133">
        <v>31</v>
      </c>
    </row>
    <row r="64" spans="2:9" ht="15.75" x14ac:dyDescent="0.25">
      <c r="B64" s="2923"/>
      <c r="C64" s="2133" t="s">
        <v>478</v>
      </c>
      <c r="D64" s="2133" t="s">
        <v>464</v>
      </c>
      <c r="E64" s="2134">
        <v>42552</v>
      </c>
      <c r="F64" s="2133">
        <v>65</v>
      </c>
      <c r="G64" s="2133">
        <v>63588</v>
      </c>
      <c r="H64" s="2133">
        <v>307</v>
      </c>
      <c r="I64" s="2133">
        <v>15</v>
      </c>
    </row>
    <row r="65" spans="2:9" ht="15.75" x14ac:dyDescent="0.25">
      <c r="B65" s="2923"/>
      <c r="C65" s="2133" t="s">
        <v>479</v>
      </c>
      <c r="D65" s="2133" t="s">
        <v>472</v>
      </c>
      <c r="E65" s="2134">
        <v>43369</v>
      </c>
      <c r="F65" s="2133">
        <v>5</v>
      </c>
      <c r="G65" s="2133">
        <v>214</v>
      </c>
      <c r="H65" s="2133">
        <v>7</v>
      </c>
      <c r="I65" s="2133">
        <v>0</v>
      </c>
    </row>
    <row r="66" spans="2:9" ht="15.75" x14ac:dyDescent="0.25">
      <c r="B66" s="2923"/>
      <c r="C66" s="2133" t="s">
        <v>480</v>
      </c>
      <c r="D66" s="2133" t="s">
        <v>457</v>
      </c>
      <c r="E66" s="2134">
        <v>41703</v>
      </c>
      <c r="F66" s="2133">
        <v>41</v>
      </c>
      <c r="G66" s="2133">
        <v>80443</v>
      </c>
      <c r="H66" s="2133">
        <v>502</v>
      </c>
      <c r="I66" s="2133">
        <v>120</v>
      </c>
    </row>
    <row r="67" spans="2:9" ht="15.75" x14ac:dyDescent="0.25">
      <c r="B67" s="2923"/>
      <c r="C67" s="2133" t="s">
        <v>481</v>
      </c>
      <c r="D67" s="2133" t="s">
        <v>457</v>
      </c>
      <c r="E67" s="2134">
        <v>42527</v>
      </c>
      <c r="F67" s="2133">
        <v>5</v>
      </c>
      <c r="G67" s="2133">
        <v>1685</v>
      </c>
      <c r="H67" s="2133">
        <v>20</v>
      </c>
      <c r="I67" s="2133">
        <v>69</v>
      </c>
    </row>
    <row r="68" spans="2:9" ht="15.75" x14ac:dyDescent="0.25">
      <c r="B68" s="2923"/>
      <c r="C68" s="2133" t="s">
        <v>482</v>
      </c>
      <c r="D68" s="2133" t="s">
        <v>457</v>
      </c>
      <c r="E68" s="2134">
        <v>42548</v>
      </c>
      <c r="F68" s="2133">
        <v>19</v>
      </c>
      <c r="G68" s="2133">
        <v>14610</v>
      </c>
      <c r="H68" s="2133">
        <v>44</v>
      </c>
      <c r="I68" s="2133">
        <v>26</v>
      </c>
    </row>
    <row r="69" spans="2:9" ht="15.75" x14ac:dyDescent="0.25">
      <c r="B69" s="2923"/>
      <c r="C69" s="2133" t="s">
        <v>483</v>
      </c>
      <c r="D69" s="2133" t="s">
        <v>484</v>
      </c>
      <c r="E69" s="2134">
        <v>40163</v>
      </c>
      <c r="F69" s="2133">
        <v>136</v>
      </c>
      <c r="G69" s="2133">
        <v>330439</v>
      </c>
      <c r="H69" s="2133">
        <v>1372</v>
      </c>
      <c r="I69" s="2133">
        <v>485</v>
      </c>
    </row>
    <row r="70" spans="2:9" ht="15.75" x14ac:dyDescent="0.25">
      <c r="B70" s="2923"/>
      <c r="C70" s="2133" t="s">
        <v>485</v>
      </c>
      <c r="D70" s="2133" t="s">
        <v>457</v>
      </c>
      <c r="E70" s="2134" t="s">
        <v>2677</v>
      </c>
      <c r="F70" s="2133">
        <v>16</v>
      </c>
      <c r="G70" s="2133">
        <v>182962</v>
      </c>
      <c r="H70" s="2133">
        <v>681</v>
      </c>
      <c r="I70" s="2133">
        <v>27</v>
      </c>
    </row>
    <row r="71" spans="2:9" ht="15.75" x14ac:dyDescent="0.25">
      <c r="B71" s="2923"/>
      <c r="C71" s="2133" t="s">
        <v>486</v>
      </c>
      <c r="D71" s="2133" t="s">
        <v>457</v>
      </c>
      <c r="E71" s="2134">
        <v>41837</v>
      </c>
      <c r="F71" s="2133">
        <v>1</v>
      </c>
      <c r="G71" s="2133">
        <v>43916</v>
      </c>
      <c r="H71" s="2133">
        <v>155</v>
      </c>
      <c r="I71" s="2133">
        <v>21</v>
      </c>
    </row>
    <row r="72" spans="2:9" ht="15.75" x14ac:dyDescent="0.25">
      <c r="B72" s="2923"/>
      <c r="C72" s="2133" t="s">
        <v>487</v>
      </c>
      <c r="D72" s="2133" t="s">
        <v>457</v>
      </c>
      <c r="E72" s="2134">
        <v>41656</v>
      </c>
      <c r="F72" s="2133">
        <v>31</v>
      </c>
      <c r="G72" s="2133">
        <v>63268</v>
      </c>
      <c r="H72" s="2133">
        <v>295</v>
      </c>
      <c r="I72" s="2133">
        <v>130</v>
      </c>
    </row>
    <row r="73" spans="2:9" ht="15.75" x14ac:dyDescent="0.25">
      <c r="B73" s="2923"/>
      <c r="C73" s="2133" t="s">
        <v>488</v>
      </c>
      <c r="D73" s="2133" t="s">
        <v>2351</v>
      </c>
      <c r="E73" s="2134">
        <v>43356</v>
      </c>
      <c r="F73" s="2133">
        <v>19</v>
      </c>
      <c r="G73" s="2133">
        <v>16430</v>
      </c>
      <c r="H73" s="2133">
        <v>85</v>
      </c>
      <c r="I73" s="2133">
        <v>14</v>
      </c>
    </row>
    <row r="74" spans="2:9" ht="15.75" x14ac:dyDescent="0.25">
      <c r="B74" s="2923"/>
      <c r="C74" s="2133" t="s">
        <v>490</v>
      </c>
      <c r="D74" s="2133" t="s">
        <v>472</v>
      </c>
      <c r="E74" s="2134">
        <v>43371</v>
      </c>
      <c r="F74" s="2133">
        <v>29</v>
      </c>
      <c r="G74" s="2133">
        <v>7006</v>
      </c>
      <c r="H74" s="2133">
        <v>7</v>
      </c>
      <c r="I74" s="2133">
        <v>2</v>
      </c>
    </row>
    <row r="75" spans="2:9" ht="15.75" x14ac:dyDescent="0.25">
      <c r="B75" s="2923"/>
      <c r="C75" s="2133" t="s">
        <v>491</v>
      </c>
      <c r="D75" s="2133" t="s">
        <v>457</v>
      </c>
      <c r="E75" s="2134">
        <v>41992</v>
      </c>
      <c r="F75" s="2133">
        <v>19</v>
      </c>
      <c r="G75" s="2133">
        <v>17287</v>
      </c>
      <c r="H75" s="2133">
        <v>87</v>
      </c>
      <c r="I75" s="2133">
        <v>17</v>
      </c>
    </row>
    <row r="76" spans="2:9" ht="15.75" x14ac:dyDescent="0.25">
      <c r="B76" s="2923"/>
      <c r="C76" s="2133" t="s">
        <v>492</v>
      </c>
      <c r="D76" s="2133" t="s">
        <v>457</v>
      </c>
      <c r="E76" s="2134">
        <v>41548</v>
      </c>
      <c r="F76" s="2133">
        <v>31</v>
      </c>
      <c r="G76" s="2133">
        <v>80928</v>
      </c>
      <c r="H76" s="2133">
        <v>663</v>
      </c>
      <c r="I76" s="2133">
        <v>34</v>
      </c>
    </row>
    <row r="77" spans="2:9" ht="15.75" x14ac:dyDescent="0.25">
      <c r="B77" s="2923"/>
      <c r="C77" s="2133" t="s">
        <v>493</v>
      </c>
      <c r="D77" s="2133" t="s">
        <v>457</v>
      </c>
      <c r="E77" s="2134">
        <v>43349</v>
      </c>
      <c r="F77" s="2133">
        <v>10</v>
      </c>
      <c r="G77" s="2133">
        <v>4966</v>
      </c>
      <c r="H77" s="2133">
        <v>17</v>
      </c>
      <c r="I77" s="2133">
        <v>0</v>
      </c>
    </row>
    <row r="78" spans="2:9" ht="15.75" x14ac:dyDescent="0.25">
      <c r="B78" s="2923"/>
      <c r="C78" s="2133" t="s">
        <v>494</v>
      </c>
      <c r="D78" s="2133" t="s">
        <v>457</v>
      </c>
      <c r="E78" s="2134">
        <v>41548</v>
      </c>
      <c r="F78" s="2133">
        <v>27</v>
      </c>
      <c r="G78" s="2133">
        <v>130095</v>
      </c>
      <c r="H78" s="2133">
        <v>289</v>
      </c>
      <c r="I78" s="2133">
        <v>51</v>
      </c>
    </row>
    <row r="79" spans="2:9" ht="15.75" x14ac:dyDescent="0.25">
      <c r="B79" s="2923"/>
      <c r="C79" s="2133" t="s">
        <v>495</v>
      </c>
      <c r="D79" s="2133" t="s">
        <v>472</v>
      </c>
      <c r="E79" s="2134">
        <v>43369</v>
      </c>
      <c r="F79" s="2133">
        <v>14</v>
      </c>
      <c r="G79" s="2133">
        <v>7315</v>
      </c>
      <c r="H79" s="2133">
        <v>16</v>
      </c>
      <c r="I79" s="2133">
        <v>0</v>
      </c>
    </row>
    <row r="80" spans="2:9" ht="15.75" x14ac:dyDescent="0.25">
      <c r="B80" s="2923"/>
      <c r="C80" s="2133" t="s">
        <v>496</v>
      </c>
      <c r="D80" s="2133" t="s">
        <v>457</v>
      </c>
      <c r="E80" s="2134">
        <v>42555</v>
      </c>
      <c r="F80" s="2133">
        <v>31</v>
      </c>
      <c r="G80" s="2133">
        <v>30877</v>
      </c>
      <c r="H80" s="2133">
        <v>167</v>
      </c>
      <c r="I80" s="2133">
        <v>88</v>
      </c>
    </row>
    <row r="81" spans="2:9" ht="15.75" x14ac:dyDescent="0.25">
      <c r="B81" s="2923"/>
      <c r="C81" s="2133" t="s">
        <v>497</v>
      </c>
      <c r="D81" s="2133" t="s">
        <v>484</v>
      </c>
      <c r="E81" s="2134">
        <v>42517</v>
      </c>
      <c r="F81" s="2133">
        <v>25</v>
      </c>
      <c r="G81" s="2133">
        <v>26438</v>
      </c>
      <c r="H81" s="2133">
        <v>84</v>
      </c>
      <c r="I81" s="2133">
        <v>13</v>
      </c>
    </row>
    <row r="82" spans="2:9" ht="15.75" x14ac:dyDescent="0.25">
      <c r="B82" s="2923"/>
      <c r="C82" s="2133" t="s">
        <v>824</v>
      </c>
      <c r="D82" s="2133" t="s">
        <v>472</v>
      </c>
      <c r="E82" s="2134">
        <v>43369</v>
      </c>
      <c r="F82" s="2133">
        <v>10</v>
      </c>
      <c r="G82" s="2133">
        <v>2990</v>
      </c>
      <c r="H82" s="2133">
        <v>3</v>
      </c>
      <c r="I82" s="2133">
        <v>0</v>
      </c>
    </row>
    <row r="83" spans="2:9" ht="15.75" x14ac:dyDescent="0.25">
      <c r="B83" s="2923"/>
      <c r="C83" s="2133" t="s">
        <v>498</v>
      </c>
      <c r="D83" s="2133" t="s">
        <v>457</v>
      </c>
      <c r="E83" s="2134">
        <v>41548</v>
      </c>
      <c r="F83" s="2133">
        <v>95</v>
      </c>
      <c r="G83" s="2133">
        <v>414529</v>
      </c>
      <c r="H83" s="2133">
        <v>1332</v>
      </c>
      <c r="I83" s="2133">
        <v>1424</v>
      </c>
    </row>
    <row r="84" spans="2:9" ht="15.75" x14ac:dyDescent="0.25">
      <c r="B84" s="2923"/>
      <c r="C84" s="2133" t="s">
        <v>499</v>
      </c>
      <c r="D84" s="2133" t="s">
        <v>457</v>
      </c>
      <c r="E84" s="2134">
        <v>41221</v>
      </c>
      <c r="F84" s="2133">
        <v>119</v>
      </c>
      <c r="G84" s="2133">
        <v>919335</v>
      </c>
      <c r="H84" s="2133">
        <v>9493</v>
      </c>
      <c r="I84" s="2133">
        <v>1045</v>
      </c>
    </row>
    <row r="85" spans="2:9" ht="15.75" x14ac:dyDescent="0.25">
      <c r="B85" s="2923"/>
      <c r="C85" s="2133" t="s">
        <v>500</v>
      </c>
      <c r="D85" s="2133" t="s">
        <v>457</v>
      </c>
      <c r="E85" s="2134">
        <v>41548</v>
      </c>
      <c r="F85" s="2133">
        <v>29</v>
      </c>
      <c r="G85" s="2133">
        <v>34958</v>
      </c>
      <c r="H85" s="2133">
        <v>371</v>
      </c>
      <c r="I85" s="2133">
        <v>378</v>
      </c>
    </row>
    <row r="86" spans="2:9" ht="15.75" x14ac:dyDescent="0.25">
      <c r="B86" s="2923"/>
      <c r="C86" s="2133" t="s">
        <v>501</v>
      </c>
      <c r="D86" s="2133" t="s">
        <v>472</v>
      </c>
      <c r="E86" s="2134">
        <v>43390</v>
      </c>
      <c r="F86" s="2133">
        <v>16</v>
      </c>
      <c r="G86" s="2133">
        <v>3979</v>
      </c>
      <c r="H86" s="2133">
        <v>4</v>
      </c>
      <c r="I86" s="2133">
        <v>3</v>
      </c>
    </row>
    <row r="87" spans="2:9" ht="15.75" x14ac:dyDescent="0.25">
      <c r="B87" s="2923"/>
      <c r="C87" s="2133" t="s">
        <v>502</v>
      </c>
      <c r="D87" s="2133" t="s">
        <v>503</v>
      </c>
      <c r="E87" s="2134">
        <v>42670</v>
      </c>
      <c r="F87" s="2133">
        <v>56</v>
      </c>
      <c r="G87" s="2133">
        <v>291628</v>
      </c>
      <c r="H87" s="2133">
        <v>3050</v>
      </c>
      <c r="I87" s="2133">
        <v>82</v>
      </c>
    </row>
    <row r="88" spans="2:9" ht="15.75" x14ac:dyDescent="0.25">
      <c r="B88" s="2923"/>
      <c r="C88" s="2133" t="s">
        <v>504</v>
      </c>
      <c r="D88" s="2133" t="s">
        <v>472</v>
      </c>
      <c r="E88" s="2134" t="s">
        <v>2678</v>
      </c>
      <c r="F88" s="2133">
        <v>6</v>
      </c>
      <c r="G88" s="2133">
        <v>616</v>
      </c>
      <c r="H88" s="2133">
        <v>1</v>
      </c>
      <c r="I88" s="2133">
        <v>73</v>
      </c>
    </row>
    <row r="89" spans="2:9" ht="15.75" x14ac:dyDescent="0.25">
      <c r="B89" s="2924"/>
      <c r="C89" s="2133" t="s">
        <v>505</v>
      </c>
      <c r="D89" s="2133" t="s">
        <v>457</v>
      </c>
      <c r="E89" s="2134">
        <v>42024</v>
      </c>
      <c r="F89" s="2133">
        <v>28</v>
      </c>
      <c r="G89" s="2133">
        <v>154276</v>
      </c>
      <c r="H89" s="2133">
        <v>514</v>
      </c>
      <c r="I89" s="2133">
        <v>737</v>
      </c>
    </row>
    <row r="90" spans="2:9" ht="15.75" x14ac:dyDescent="0.25">
      <c r="B90" s="2920" t="s">
        <v>506</v>
      </c>
      <c r="C90" s="2920"/>
      <c r="D90" s="2920"/>
      <c r="E90" s="2136"/>
      <c r="F90" s="2135">
        <v>1080</v>
      </c>
      <c r="G90" s="2135">
        <v>3834043</v>
      </c>
      <c r="H90" s="2135">
        <v>24769</v>
      </c>
      <c r="I90" s="2135">
        <v>5939</v>
      </c>
    </row>
    <row r="91" spans="2:9" ht="15.75" x14ac:dyDescent="0.25">
      <c r="B91" s="2922" t="s">
        <v>507</v>
      </c>
      <c r="C91" s="2133" t="s">
        <v>508</v>
      </c>
      <c r="D91" s="2133" t="s">
        <v>509</v>
      </c>
      <c r="E91" s="2134">
        <v>43153</v>
      </c>
      <c r="F91" s="2133">
        <v>33</v>
      </c>
      <c r="G91" s="2133">
        <v>21173</v>
      </c>
      <c r="H91" s="2133">
        <v>110</v>
      </c>
      <c r="I91" s="2133">
        <v>15</v>
      </c>
    </row>
    <row r="92" spans="2:9" ht="15.75" x14ac:dyDescent="0.25">
      <c r="B92" s="2923"/>
      <c r="C92" s="2133" t="s">
        <v>510</v>
      </c>
      <c r="D92" s="2133" t="s">
        <v>472</v>
      </c>
      <c r="E92" s="2134">
        <v>43356</v>
      </c>
      <c r="F92" s="2133">
        <v>56</v>
      </c>
      <c r="G92" s="2133">
        <v>6493</v>
      </c>
      <c r="H92" s="2133">
        <v>5</v>
      </c>
      <c r="I92" s="2133">
        <v>0</v>
      </c>
    </row>
    <row r="93" spans="2:9" ht="15.75" x14ac:dyDescent="0.25">
      <c r="B93" s="2923"/>
      <c r="C93" s="2133" t="s">
        <v>511</v>
      </c>
      <c r="D93" s="2133" t="s">
        <v>472</v>
      </c>
      <c r="E93" s="2134">
        <v>45041</v>
      </c>
      <c r="F93" s="2133">
        <v>36</v>
      </c>
      <c r="G93" s="2133">
        <v>168895</v>
      </c>
      <c r="H93" s="2133">
        <v>606</v>
      </c>
      <c r="I93" s="2133">
        <v>911</v>
      </c>
    </row>
    <row r="94" spans="2:9" ht="15.75" x14ac:dyDescent="0.25">
      <c r="B94" s="2923"/>
      <c r="C94" s="2133" t="s">
        <v>512</v>
      </c>
      <c r="D94" s="2133" t="s">
        <v>513</v>
      </c>
      <c r="E94" s="2134" t="s">
        <v>2679</v>
      </c>
      <c r="F94" s="2133">
        <v>26</v>
      </c>
      <c r="G94" s="2133">
        <v>40834</v>
      </c>
      <c r="H94" s="2133">
        <v>164</v>
      </c>
      <c r="I94" s="2133">
        <v>80</v>
      </c>
    </row>
    <row r="95" spans="2:9" ht="15.75" x14ac:dyDescent="0.25">
      <c r="B95" s="2923"/>
      <c r="C95" s="2133" t="s">
        <v>514</v>
      </c>
      <c r="D95" s="2133" t="s">
        <v>515</v>
      </c>
      <c r="E95" s="2134">
        <v>45041</v>
      </c>
      <c r="F95" s="2133">
        <v>62</v>
      </c>
      <c r="G95" s="2133">
        <v>66426</v>
      </c>
      <c r="H95" s="2133">
        <v>468</v>
      </c>
      <c r="I95" s="2133">
        <v>723</v>
      </c>
    </row>
    <row r="96" spans="2:9" ht="15.75" x14ac:dyDescent="0.25">
      <c r="B96" s="2923"/>
      <c r="C96" s="2133" t="s">
        <v>516</v>
      </c>
      <c r="D96" s="2133" t="s">
        <v>517</v>
      </c>
      <c r="E96" s="2134" t="s">
        <v>2680</v>
      </c>
      <c r="F96" s="2133">
        <v>33</v>
      </c>
      <c r="G96" s="2133">
        <v>1938</v>
      </c>
      <c r="H96" s="2133">
        <v>24</v>
      </c>
      <c r="I96" s="2133">
        <v>18</v>
      </c>
    </row>
    <row r="97" spans="2:9" ht="15.75" x14ac:dyDescent="0.25">
      <c r="B97" s="2923"/>
      <c r="C97" s="2133" t="s">
        <v>518</v>
      </c>
      <c r="D97" s="2133" t="s">
        <v>519</v>
      </c>
      <c r="E97" s="2134" t="s">
        <v>2681</v>
      </c>
      <c r="F97" s="2133">
        <v>39</v>
      </c>
      <c r="G97" s="2133">
        <v>2323</v>
      </c>
      <c r="H97" s="2133">
        <v>0</v>
      </c>
      <c r="I97" s="2133">
        <v>257</v>
      </c>
    </row>
    <row r="98" spans="2:9" ht="15.75" x14ac:dyDescent="0.25">
      <c r="B98" s="2923"/>
      <c r="C98" s="2133" t="s">
        <v>520</v>
      </c>
      <c r="D98" s="2133" t="s">
        <v>513</v>
      </c>
      <c r="E98" s="2134">
        <v>43553</v>
      </c>
      <c r="F98" s="2133">
        <v>16</v>
      </c>
      <c r="G98" s="2133">
        <v>47239</v>
      </c>
      <c r="H98" s="2133">
        <v>15</v>
      </c>
      <c r="I98" s="2133">
        <v>9</v>
      </c>
    </row>
    <row r="99" spans="2:9" ht="15.75" x14ac:dyDescent="0.25">
      <c r="B99" s="2923"/>
      <c r="C99" s="2133" t="s">
        <v>521</v>
      </c>
      <c r="D99" s="2133" t="s">
        <v>513</v>
      </c>
      <c r="E99" s="2134">
        <v>43139</v>
      </c>
      <c r="F99" s="2133">
        <v>30</v>
      </c>
      <c r="G99" s="2133">
        <v>40392</v>
      </c>
      <c r="H99" s="2133">
        <v>37</v>
      </c>
      <c r="I99" s="2133">
        <v>71</v>
      </c>
    </row>
    <row r="100" spans="2:9" ht="15.75" x14ac:dyDescent="0.25">
      <c r="B100" s="2923"/>
      <c r="C100" s="2133" t="s">
        <v>522</v>
      </c>
      <c r="D100" s="2133" t="s">
        <v>472</v>
      </c>
      <c r="E100" s="2134">
        <v>43356</v>
      </c>
      <c r="F100" s="2133">
        <v>46</v>
      </c>
      <c r="G100" s="2133">
        <v>34093</v>
      </c>
      <c r="H100" s="2133">
        <v>42</v>
      </c>
      <c r="I100" s="2133">
        <v>140</v>
      </c>
    </row>
    <row r="101" spans="2:9" ht="15.75" x14ac:dyDescent="0.25">
      <c r="B101" s="2923"/>
      <c r="C101" s="2133" t="s">
        <v>523</v>
      </c>
      <c r="D101" s="2133" t="s">
        <v>2947</v>
      </c>
      <c r="E101" s="2134">
        <v>42095</v>
      </c>
      <c r="F101" s="2133">
        <v>19</v>
      </c>
      <c r="G101" s="2133">
        <v>17675</v>
      </c>
      <c r="H101" s="2133">
        <v>37</v>
      </c>
      <c r="I101" s="2133">
        <v>91</v>
      </c>
    </row>
    <row r="102" spans="2:9" ht="15.75" x14ac:dyDescent="0.25">
      <c r="B102" s="2923"/>
      <c r="C102" s="2133" t="s">
        <v>524</v>
      </c>
      <c r="D102" s="2133" t="s">
        <v>513</v>
      </c>
      <c r="E102" s="2134">
        <v>42601</v>
      </c>
      <c r="F102" s="2133">
        <v>44</v>
      </c>
      <c r="G102" s="2133">
        <v>37824</v>
      </c>
      <c r="H102" s="2133">
        <v>144</v>
      </c>
      <c r="I102" s="2133">
        <v>272</v>
      </c>
    </row>
    <row r="103" spans="2:9" ht="15.75" x14ac:dyDescent="0.25">
      <c r="B103" s="2923"/>
      <c r="C103" s="2133" t="s">
        <v>525</v>
      </c>
      <c r="D103" s="2133" t="s">
        <v>433</v>
      </c>
      <c r="E103" s="2134">
        <v>43199</v>
      </c>
      <c r="F103" s="2133">
        <v>33</v>
      </c>
      <c r="G103" s="2133">
        <v>14435</v>
      </c>
      <c r="H103" s="2133">
        <v>77</v>
      </c>
      <c r="I103" s="2133">
        <v>55</v>
      </c>
    </row>
    <row r="104" spans="2:9" ht="15.75" x14ac:dyDescent="0.25">
      <c r="B104" s="2923"/>
      <c r="C104" s="2133" t="s">
        <v>526</v>
      </c>
      <c r="D104" s="2133" t="s">
        <v>527</v>
      </c>
      <c r="E104" s="2134">
        <v>39976</v>
      </c>
      <c r="F104" s="2133">
        <v>26</v>
      </c>
      <c r="G104" s="2133">
        <v>54218</v>
      </c>
      <c r="H104" s="2133">
        <v>61</v>
      </c>
      <c r="I104" s="2133">
        <v>339</v>
      </c>
    </row>
    <row r="105" spans="2:9" ht="15.75" x14ac:dyDescent="0.25">
      <c r="B105" s="2923"/>
      <c r="C105" s="2133" t="s">
        <v>528</v>
      </c>
      <c r="D105" s="2133" t="s">
        <v>529</v>
      </c>
      <c r="E105" s="2134">
        <v>43369</v>
      </c>
      <c r="F105" s="2133">
        <v>51</v>
      </c>
      <c r="G105" s="2133">
        <v>15059</v>
      </c>
      <c r="H105" s="2133">
        <v>13</v>
      </c>
      <c r="I105" s="2133">
        <v>38</v>
      </c>
    </row>
    <row r="106" spans="2:9" ht="15.75" x14ac:dyDescent="0.25">
      <c r="B106" s="2923"/>
      <c r="C106" s="2133" t="s">
        <v>530</v>
      </c>
      <c r="D106" s="2133" t="s">
        <v>433</v>
      </c>
      <c r="E106" s="2134">
        <v>42573</v>
      </c>
      <c r="F106" s="2133">
        <v>15</v>
      </c>
      <c r="G106" s="2133">
        <v>11772</v>
      </c>
      <c r="H106" s="2133">
        <v>79</v>
      </c>
      <c r="I106" s="2133">
        <v>11</v>
      </c>
    </row>
    <row r="107" spans="2:9" ht="15.75" x14ac:dyDescent="0.25">
      <c r="B107" s="2920" t="s">
        <v>531</v>
      </c>
      <c r="C107" s="2920"/>
      <c r="D107" s="2920"/>
      <c r="E107" s="2136"/>
      <c r="F107" s="2135">
        <v>565</v>
      </c>
      <c r="G107" s="2135">
        <v>580789</v>
      </c>
      <c r="H107" s="2135">
        <v>1882</v>
      </c>
      <c r="I107" s="2135">
        <v>3030</v>
      </c>
    </row>
    <row r="108" spans="2:9" ht="15.75" x14ac:dyDescent="0.25">
      <c r="B108" s="2133" t="s">
        <v>532</v>
      </c>
      <c r="C108" s="2133" t="s">
        <v>533</v>
      </c>
      <c r="D108" s="2133" t="s">
        <v>2947</v>
      </c>
      <c r="E108" s="2134">
        <v>43356</v>
      </c>
      <c r="F108" s="2133">
        <v>12</v>
      </c>
      <c r="G108" s="2133">
        <v>435</v>
      </c>
      <c r="H108" s="2133">
        <v>3</v>
      </c>
      <c r="I108" s="2133">
        <v>3</v>
      </c>
    </row>
    <row r="109" spans="2:9" ht="15.75" x14ac:dyDescent="0.25">
      <c r="B109" s="2920" t="s">
        <v>534</v>
      </c>
      <c r="C109" s="2920"/>
      <c r="D109" s="2920"/>
      <c r="E109" s="2136"/>
      <c r="F109" s="2135">
        <v>12</v>
      </c>
      <c r="G109" s="2135">
        <v>435</v>
      </c>
      <c r="H109" s="2135">
        <v>3</v>
      </c>
      <c r="I109" s="2135">
        <v>3</v>
      </c>
    </row>
    <row r="110" spans="2:9" ht="15.75" x14ac:dyDescent="0.25">
      <c r="B110" s="2133" t="s">
        <v>535</v>
      </c>
      <c r="C110" s="2133" t="s">
        <v>536</v>
      </c>
      <c r="D110" s="2133" t="s">
        <v>457</v>
      </c>
      <c r="E110" s="2134" t="s">
        <v>2682</v>
      </c>
      <c r="F110" s="2133">
        <v>30</v>
      </c>
      <c r="G110" s="2133">
        <v>3231</v>
      </c>
      <c r="H110" s="2133">
        <v>6</v>
      </c>
      <c r="I110" s="2133">
        <v>0</v>
      </c>
    </row>
    <row r="111" spans="2:9" ht="15.75" x14ac:dyDescent="0.25">
      <c r="B111" s="2920" t="s">
        <v>537</v>
      </c>
      <c r="C111" s="2920"/>
      <c r="D111" s="2920"/>
      <c r="E111" s="2136"/>
      <c r="F111" s="2135">
        <v>30</v>
      </c>
      <c r="G111" s="2135">
        <v>3231</v>
      </c>
      <c r="H111" s="2135">
        <v>6</v>
      </c>
      <c r="I111" s="2135">
        <v>0</v>
      </c>
    </row>
    <row r="112" spans="2:9" ht="15.75" x14ac:dyDescent="0.25">
      <c r="B112" s="2922" t="s">
        <v>538</v>
      </c>
      <c r="C112" s="2133" t="s">
        <v>539</v>
      </c>
      <c r="D112" s="2133" t="s">
        <v>433</v>
      </c>
      <c r="E112" s="2134">
        <v>43349</v>
      </c>
      <c r="F112" s="2133">
        <v>15</v>
      </c>
      <c r="G112" s="2133">
        <v>13983</v>
      </c>
      <c r="H112" s="2133">
        <v>64</v>
      </c>
      <c r="I112" s="2133">
        <v>17</v>
      </c>
    </row>
    <row r="113" spans="2:9" ht="15.75" x14ac:dyDescent="0.25">
      <c r="B113" s="2923"/>
      <c r="C113" s="2133" t="s">
        <v>825</v>
      </c>
      <c r="D113" s="2133" t="s">
        <v>826</v>
      </c>
      <c r="E113" s="2134">
        <v>44635</v>
      </c>
      <c r="F113" s="2133">
        <v>3</v>
      </c>
      <c r="G113" s="2133">
        <v>0</v>
      </c>
      <c r="H113" s="2133">
        <v>0</v>
      </c>
      <c r="I113" s="2133">
        <v>0</v>
      </c>
    </row>
    <row r="114" spans="2:9" ht="15.75" x14ac:dyDescent="0.25">
      <c r="B114" s="2923"/>
      <c r="C114" s="2133" t="s">
        <v>827</v>
      </c>
      <c r="D114" s="2133" t="s">
        <v>828</v>
      </c>
      <c r="E114" s="2134">
        <v>44649</v>
      </c>
      <c r="F114" s="2133">
        <v>3</v>
      </c>
      <c r="G114" s="2133">
        <v>0</v>
      </c>
      <c r="H114" s="2133">
        <v>0</v>
      </c>
      <c r="I114" s="2133">
        <v>0</v>
      </c>
    </row>
    <row r="115" spans="2:9" ht="15.75" x14ac:dyDescent="0.25">
      <c r="B115" s="2920" t="s">
        <v>540</v>
      </c>
      <c r="C115" s="2920"/>
      <c r="D115" s="2920"/>
      <c r="E115" s="2136"/>
      <c r="F115" s="2135">
        <v>21</v>
      </c>
      <c r="G115" s="2135">
        <v>13983</v>
      </c>
      <c r="H115" s="2135">
        <v>64</v>
      </c>
      <c r="I115" s="2135">
        <v>17</v>
      </c>
    </row>
    <row r="116" spans="2:9" ht="15.75" x14ac:dyDescent="0.25">
      <c r="B116" s="2922" t="s">
        <v>541</v>
      </c>
      <c r="C116" s="2133" t="s">
        <v>542</v>
      </c>
      <c r="D116" s="2133" t="s">
        <v>414</v>
      </c>
      <c r="E116" s="2134" t="s">
        <v>2683</v>
      </c>
      <c r="F116" s="2133">
        <v>27</v>
      </c>
      <c r="G116" s="2133">
        <v>13653</v>
      </c>
      <c r="H116" s="2133">
        <v>39</v>
      </c>
      <c r="I116" s="2133">
        <v>1</v>
      </c>
    </row>
    <row r="117" spans="2:9" ht="15.75" x14ac:dyDescent="0.25">
      <c r="B117" s="2923"/>
      <c r="C117" s="2133" t="s">
        <v>543</v>
      </c>
      <c r="D117" s="2133" t="s">
        <v>433</v>
      </c>
      <c r="E117" s="2134">
        <v>43553</v>
      </c>
      <c r="F117" s="2133">
        <v>12</v>
      </c>
      <c r="G117" s="2133">
        <v>4093</v>
      </c>
      <c r="H117" s="2133">
        <v>15</v>
      </c>
      <c r="I117" s="2133">
        <v>0</v>
      </c>
    </row>
    <row r="118" spans="2:9" ht="15.75" x14ac:dyDescent="0.25">
      <c r="B118" s="2923"/>
      <c r="C118" s="2133" t="s">
        <v>544</v>
      </c>
      <c r="D118" s="2133" t="s">
        <v>440</v>
      </c>
      <c r="E118" s="2134" t="s">
        <v>2684</v>
      </c>
      <c r="F118" s="2133">
        <v>14</v>
      </c>
      <c r="G118" s="2133">
        <v>62781</v>
      </c>
      <c r="H118" s="2133">
        <v>75</v>
      </c>
      <c r="I118" s="2133">
        <v>1</v>
      </c>
    </row>
    <row r="119" spans="2:9" ht="15.75" x14ac:dyDescent="0.25">
      <c r="B119" s="2923"/>
      <c r="C119" s="2133" t="s">
        <v>545</v>
      </c>
      <c r="D119" s="2133" t="s">
        <v>527</v>
      </c>
      <c r="E119" s="2134" t="s">
        <v>2685</v>
      </c>
      <c r="F119" s="2133">
        <v>14</v>
      </c>
      <c r="G119" s="2133">
        <v>13320</v>
      </c>
      <c r="H119" s="2133">
        <v>4</v>
      </c>
      <c r="I119" s="2133">
        <v>2</v>
      </c>
    </row>
    <row r="120" spans="2:9" ht="15.75" x14ac:dyDescent="0.25">
      <c r="B120" s="2923"/>
      <c r="C120" s="2133" t="s">
        <v>829</v>
      </c>
      <c r="D120" s="2133" t="s">
        <v>472</v>
      </c>
      <c r="E120" s="2134" t="s">
        <v>2686</v>
      </c>
      <c r="F120" s="2133">
        <v>16</v>
      </c>
      <c r="G120" s="2133">
        <v>0</v>
      </c>
      <c r="H120" s="2133">
        <v>0</v>
      </c>
      <c r="I120" s="2133">
        <v>0</v>
      </c>
    </row>
    <row r="121" spans="2:9" ht="15.75" x14ac:dyDescent="0.25">
      <c r="B121" s="2923"/>
      <c r="C121" s="2133" t="s">
        <v>546</v>
      </c>
      <c r="D121" s="2133" t="s">
        <v>440</v>
      </c>
      <c r="E121" s="2134" t="s">
        <v>2684</v>
      </c>
      <c r="F121" s="2133">
        <v>27</v>
      </c>
      <c r="G121" s="2133">
        <v>79095</v>
      </c>
      <c r="H121" s="2133">
        <v>114</v>
      </c>
      <c r="I121" s="2133">
        <v>14</v>
      </c>
    </row>
    <row r="122" spans="2:9" ht="15.75" x14ac:dyDescent="0.25">
      <c r="B122" s="2923"/>
      <c r="C122" s="2133" t="s">
        <v>547</v>
      </c>
      <c r="D122" s="2133" t="s">
        <v>527</v>
      </c>
      <c r="E122" s="2134" t="s">
        <v>2671</v>
      </c>
      <c r="F122" s="2133">
        <v>18</v>
      </c>
      <c r="G122" s="2133">
        <v>14703</v>
      </c>
      <c r="H122" s="2133">
        <v>4</v>
      </c>
      <c r="I122" s="2133">
        <v>16</v>
      </c>
    </row>
    <row r="123" spans="2:9" ht="15.75" x14ac:dyDescent="0.25">
      <c r="B123" s="2924"/>
      <c r="C123" s="2133" t="s">
        <v>548</v>
      </c>
      <c r="D123" s="2133" t="s">
        <v>527</v>
      </c>
      <c r="E123" s="2134" t="s">
        <v>2671</v>
      </c>
      <c r="F123" s="2133">
        <v>2</v>
      </c>
      <c r="G123" s="2133">
        <v>301</v>
      </c>
      <c r="H123" s="2133">
        <v>0</v>
      </c>
      <c r="I123" s="2133">
        <v>0</v>
      </c>
    </row>
    <row r="124" spans="2:9" ht="15.75" x14ac:dyDescent="0.25">
      <c r="B124" s="2920" t="s">
        <v>549</v>
      </c>
      <c r="C124" s="2920"/>
      <c r="D124" s="2920"/>
      <c r="E124" s="2136"/>
      <c r="F124" s="2135">
        <v>130</v>
      </c>
      <c r="G124" s="2135">
        <v>187946</v>
      </c>
      <c r="H124" s="2135">
        <v>251</v>
      </c>
      <c r="I124" s="2135">
        <v>34</v>
      </c>
    </row>
    <row r="125" spans="2:9" ht="15.75" x14ac:dyDescent="0.25">
      <c r="B125" s="2922" t="s">
        <v>550</v>
      </c>
      <c r="C125" s="2133" t="s">
        <v>551</v>
      </c>
      <c r="D125" s="2133" t="s">
        <v>405</v>
      </c>
      <c r="E125" s="2134">
        <v>43579</v>
      </c>
      <c r="F125" s="2133">
        <v>25</v>
      </c>
      <c r="G125" s="2133">
        <v>4673</v>
      </c>
      <c r="H125" s="2133">
        <v>41</v>
      </c>
      <c r="I125" s="2133">
        <v>3</v>
      </c>
    </row>
    <row r="126" spans="2:9" ht="15.75" x14ac:dyDescent="0.25">
      <c r="B126" s="2923"/>
      <c r="C126" s="2133" t="s">
        <v>552</v>
      </c>
      <c r="D126" s="2133" t="s">
        <v>433</v>
      </c>
      <c r="E126" s="2134">
        <v>43367</v>
      </c>
      <c r="F126" s="2133">
        <v>44</v>
      </c>
      <c r="G126" s="2133">
        <v>32098</v>
      </c>
      <c r="H126" s="2133">
        <v>3</v>
      </c>
      <c r="I126" s="2133">
        <v>0</v>
      </c>
    </row>
    <row r="127" spans="2:9" ht="15.75" x14ac:dyDescent="0.25">
      <c r="B127" s="2923"/>
      <c r="C127" s="2133" t="s">
        <v>553</v>
      </c>
      <c r="D127" s="2133" t="s">
        <v>411</v>
      </c>
      <c r="E127" s="2134">
        <v>42261</v>
      </c>
      <c r="F127" s="2133">
        <v>16</v>
      </c>
      <c r="G127" s="2133">
        <v>34164</v>
      </c>
      <c r="H127" s="2133">
        <v>129</v>
      </c>
      <c r="I127" s="2133">
        <v>42</v>
      </c>
    </row>
    <row r="128" spans="2:9" ht="15.75" x14ac:dyDescent="0.25">
      <c r="B128" s="2923"/>
      <c r="C128" s="2133" t="s">
        <v>554</v>
      </c>
      <c r="D128" s="2133" t="s">
        <v>527</v>
      </c>
      <c r="E128" s="2134">
        <v>42053</v>
      </c>
      <c r="F128" s="2133">
        <v>157</v>
      </c>
      <c r="G128" s="2133">
        <v>306153</v>
      </c>
      <c r="H128" s="2133">
        <v>381</v>
      </c>
      <c r="I128" s="2133">
        <v>238</v>
      </c>
    </row>
    <row r="129" spans="2:9" ht="15.75" x14ac:dyDescent="0.25">
      <c r="B129" s="2923"/>
      <c r="C129" s="2133" t="s">
        <v>555</v>
      </c>
      <c r="D129" s="2133" t="s">
        <v>433</v>
      </c>
      <c r="E129" s="2134">
        <v>43322</v>
      </c>
      <c r="F129" s="2133">
        <v>22</v>
      </c>
      <c r="G129" s="2133">
        <v>6281</v>
      </c>
      <c r="H129" s="2133">
        <v>32</v>
      </c>
      <c r="I129" s="2133">
        <v>1</v>
      </c>
    </row>
    <row r="130" spans="2:9" ht="15.75" x14ac:dyDescent="0.25">
      <c r="B130" s="2923"/>
      <c r="C130" s="2133" t="s">
        <v>830</v>
      </c>
      <c r="D130" s="2133" t="s">
        <v>411</v>
      </c>
      <c r="E130" s="2134">
        <v>44635</v>
      </c>
      <c r="F130" s="2133">
        <v>4</v>
      </c>
      <c r="G130" s="2133">
        <v>0</v>
      </c>
      <c r="H130" s="2133">
        <v>0</v>
      </c>
      <c r="I130" s="2133">
        <v>0</v>
      </c>
    </row>
    <row r="131" spans="2:9" ht="15.75" x14ac:dyDescent="0.25">
      <c r="B131" s="2923"/>
      <c r="C131" s="2133" t="s">
        <v>556</v>
      </c>
      <c r="D131" s="2133" t="s">
        <v>405</v>
      </c>
      <c r="E131" s="2134">
        <v>43579</v>
      </c>
      <c r="F131" s="2133">
        <v>22</v>
      </c>
      <c r="G131" s="2133">
        <v>392</v>
      </c>
      <c r="H131" s="2133">
        <v>0</v>
      </c>
      <c r="I131" s="2133">
        <v>2</v>
      </c>
    </row>
    <row r="132" spans="2:9" ht="15.75" x14ac:dyDescent="0.25">
      <c r="B132" s="2923"/>
      <c r="C132" s="2133" t="s">
        <v>557</v>
      </c>
      <c r="D132" s="2133" t="s">
        <v>558</v>
      </c>
      <c r="E132" s="2134">
        <v>43368</v>
      </c>
      <c r="F132" s="2133">
        <v>28</v>
      </c>
      <c r="G132" s="2133">
        <v>35442</v>
      </c>
      <c r="H132" s="2133">
        <v>6</v>
      </c>
      <c r="I132" s="2133">
        <v>0</v>
      </c>
    </row>
    <row r="133" spans="2:9" ht="15.75" x14ac:dyDescent="0.25">
      <c r="B133" s="2923"/>
      <c r="C133" s="2133" t="s">
        <v>559</v>
      </c>
      <c r="D133" s="2133" t="s">
        <v>527</v>
      </c>
      <c r="E133" s="2134" t="s">
        <v>2687</v>
      </c>
      <c r="F133" s="2133">
        <v>42</v>
      </c>
      <c r="G133" s="2133">
        <v>52245</v>
      </c>
      <c r="H133" s="2133">
        <v>32</v>
      </c>
      <c r="I133" s="2133">
        <v>26</v>
      </c>
    </row>
    <row r="134" spans="2:9" ht="15.75" x14ac:dyDescent="0.25">
      <c r="B134" s="2923"/>
      <c r="C134" s="2133" t="s">
        <v>560</v>
      </c>
      <c r="D134" s="2133" t="s">
        <v>2947</v>
      </c>
      <c r="E134" s="2134">
        <v>42261</v>
      </c>
      <c r="F134" s="2133">
        <v>12</v>
      </c>
      <c r="G134" s="2133">
        <v>20554</v>
      </c>
      <c r="H134" s="2133">
        <v>42</v>
      </c>
      <c r="I134" s="2133">
        <v>13</v>
      </c>
    </row>
    <row r="135" spans="2:9" ht="15.75" x14ac:dyDescent="0.25">
      <c r="B135" s="2923"/>
      <c r="C135" s="2133" t="s">
        <v>561</v>
      </c>
      <c r="D135" s="2133" t="s">
        <v>405</v>
      </c>
      <c r="E135" s="2134">
        <v>43579</v>
      </c>
      <c r="F135" s="2133">
        <v>23</v>
      </c>
      <c r="G135" s="2133">
        <v>1071</v>
      </c>
      <c r="H135" s="2133">
        <v>8</v>
      </c>
      <c r="I135" s="2133">
        <v>4</v>
      </c>
    </row>
    <row r="136" spans="2:9" ht="15.75" x14ac:dyDescent="0.25">
      <c r="B136" s="2923"/>
      <c r="C136" s="2133" t="s">
        <v>562</v>
      </c>
      <c r="D136" s="2133" t="s">
        <v>405</v>
      </c>
      <c r="E136" s="2134">
        <v>43579</v>
      </c>
      <c r="F136" s="2133">
        <v>32</v>
      </c>
      <c r="G136" s="2133">
        <v>4719</v>
      </c>
      <c r="H136" s="2133">
        <v>20</v>
      </c>
      <c r="I136" s="2133">
        <v>42</v>
      </c>
    </row>
    <row r="137" spans="2:9" ht="15.75" x14ac:dyDescent="0.25">
      <c r="B137" s="2923"/>
      <c r="C137" s="2133" t="s">
        <v>563</v>
      </c>
      <c r="D137" s="2133" t="s">
        <v>564</v>
      </c>
      <c r="E137" s="2134">
        <v>43371</v>
      </c>
      <c r="F137" s="2133">
        <v>25</v>
      </c>
      <c r="G137" s="2133">
        <v>53257</v>
      </c>
      <c r="H137" s="2133">
        <v>9</v>
      </c>
      <c r="I137" s="2133">
        <v>46</v>
      </c>
    </row>
    <row r="138" spans="2:9" ht="15.75" x14ac:dyDescent="0.25">
      <c r="B138" s="2923"/>
      <c r="C138" s="2133" t="s">
        <v>565</v>
      </c>
      <c r="D138" s="2133" t="s">
        <v>411</v>
      </c>
      <c r="E138" s="2134">
        <v>42230</v>
      </c>
      <c r="F138" s="2133">
        <v>12</v>
      </c>
      <c r="G138" s="2133">
        <v>32200</v>
      </c>
      <c r="H138" s="2133">
        <v>143</v>
      </c>
      <c r="I138" s="2133">
        <v>63</v>
      </c>
    </row>
    <row r="139" spans="2:9" ht="15.75" x14ac:dyDescent="0.25">
      <c r="B139" s="2923"/>
      <c r="C139" s="2133" t="s">
        <v>831</v>
      </c>
      <c r="D139" s="2133" t="s">
        <v>472</v>
      </c>
      <c r="E139" s="2134" t="s">
        <v>2688</v>
      </c>
      <c r="F139" s="2133">
        <v>12</v>
      </c>
      <c r="G139" s="2133">
        <v>216</v>
      </c>
      <c r="H139" s="2133">
        <v>0</v>
      </c>
      <c r="I139" s="2133">
        <v>0</v>
      </c>
    </row>
    <row r="140" spans="2:9" ht="15.75" x14ac:dyDescent="0.25">
      <c r="B140" s="2924"/>
      <c r="C140" s="2133" t="s">
        <v>566</v>
      </c>
      <c r="D140" s="2133" t="s">
        <v>405</v>
      </c>
      <c r="E140" s="2134">
        <v>43579</v>
      </c>
      <c r="F140" s="2133">
        <v>27</v>
      </c>
      <c r="G140" s="2133">
        <v>938</v>
      </c>
      <c r="H140" s="2133">
        <v>3</v>
      </c>
      <c r="I140" s="2133">
        <v>1</v>
      </c>
    </row>
    <row r="141" spans="2:9" ht="15.75" x14ac:dyDescent="0.25">
      <c r="B141" s="2920" t="s">
        <v>567</v>
      </c>
      <c r="C141" s="2920"/>
      <c r="D141" s="2920"/>
      <c r="E141" s="2136"/>
      <c r="F141" s="2135">
        <v>503</v>
      </c>
      <c r="G141" s="2135">
        <v>584403</v>
      </c>
      <c r="H141" s="2135">
        <v>849</v>
      </c>
      <c r="I141" s="2135">
        <v>481</v>
      </c>
    </row>
    <row r="142" spans="2:9" ht="15.75" x14ac:dyDescent="0.25">
      <c r="B142" s="2922" t="s">
        <v>568</v>
      </c>
      <c r="C142" s="2133" t="s">
        <v>569</v>
      </c>
      <c r="D142" s="2133" t="s">
        <v>405</v>
      </c>
      <c r="E142" s="2134">
        <v>43553</v>
      </c>
      <c r="F142" s="2133">
        <v>47</v>
      </c>
      <c r="G142" s="2133">
        <v>54545</v>
      </c>
      <c r="H142" s="2133">
        <v>66</v>
      </c>
      <c r="I142" s="2133">
        <v>7</v>
      </c>
    </row>
    <row r="143" spans="2:9" ht="15.75" x14ac:dyDescent="0.25">
      <c r="B143" s="2923"/>
      <c r="C143" s="2133" t="s">
        <v>570</v>
      </c>
      <c r="D143" s="2133" t="s">
        <v>2947</v>
      </c>
      <c r="E143" s="2134">
        <v>42291</v>
      </c>
      <c r="F143" s="2133">
        <v>21</v>
      </c>
      <c r="G143" s="2133">
        <v>42759</v>
      </c>
      <c r="H143" s="2133">
        <v>88</v>
      </c>
      <c r="I143" s="2133">
        <v>27</v>
      </c>
    </row>
    <row r="144" spans="2:9" ht="15.75" x14ac:dyDescent="0.25">
      <c r="B144" s="2923"/>
      <c r="C144" s="2133" t="s">
        <v>832</v>
      </c>
      <c r="D144" s="2133" t="s">
        <v>833</v>
      </c>
      <c r="E144" s="2134">
        <v>44635</v>
      </c>
      <c r="F144" s="2133">
        <v>21</v>
      </c>
      <c r="G144" s="2133">
        <v>0</v>
      </c>
      <c r="H144" s="2133">
        <v>0</v>
      </c>
      <c r="I144" s="2133">
        <v>0</v>
      </c>
    </row>
    <row r="145" spans="2:9" ht="15.75" x14ac:dyDescent="0.25">
      <c r="B145" s="2923"/>
      <c r="C145" s="2133" t="s">
        <v>571</v>
      </c>
      <c r="D145" s="2133" t="s">
        <v>2947</v>
      </c>
      <c r="E145" s="2134" t="s">
        <v>2689</v>
      </c>
      <c r="F145" s="2133">
        <v>35</v>
      </c>
      <c r="G145" s="2133">
        <v>11111</v>
      </c>
      <c r="H145" s="2133">
        <v>45</v>
      </c>
      <c r="I145" s="2133">
        <v>2</v>
      </c>
    </row>
    <row r="146" spans="2:9" ht="15.75" x14ac:dyDescent="0.25">
      <c r="B146" s="2923"/>
      <c r="C146" s="2133" t="s">
        <v>572</v>
      </c>
      <c r="D146" s="2133" t="s">
        <v>2947</v>
      </c>
      <c r="E146" s="2134" t="s">
        <v>2690</v>
      </c>
      <c r="F146" s="2133">
        <v>35</v>
      </c>
      <c r="G146" s="2133">
        <v>11811</v>
      </c>
      <c r="H146" s="2133">
        <v>22</v>
      </c>
      <c r="I146" s="2133">
        <v>0</v>
      </c>
    </row>
    <row r="147" spans="2:9" ht="15.75" x14ac:dyDescent="0.25">
      <c r="B147" s="2923"/>
      <c r="C147" s="2133" t="s">
        <v>573</v>
      </c>
      <c r="D147" s="2133" t="s">
        <v>2947</v>
      </c>
      <c r="E147" s="2134" t="s">
        <v>2691</v>
      </c>
      <c r="F147" s="2133">
        <v>61</v>
      </c>
      <c r="G147" s="2133">
        <v>21851</v>
      </c>
      <c r="H147" s="2133">
        <v>62</v>
      </c>
      <c r="I147" s="2133">
        <v>7</v>
      </c>
    </row>
    <row r="148" spans="2:9" ht="15.75" x14ac:dyDescent="0.25">
      <c r="B148" s="2920" t="s">
        <v>574</v>
      </c>
      <c r="C148" s="2920"/>
      <c r="D148" s="2920"/>
      <c r="E148" s="2136"/>
      <c r="F148" s="2135">
        <v>220</v>
      </c>
      <c r="G148" s="2135">
        <v>142077</v>
      </c>
      <c r="H148" s="2135">
        <v>283</v>
      </c>
      <c r="I148" s="2135">
        <v>43</v>
      </c>
    </row>
    <row r="149" spans="2:9" ht="15.75" x14ac:dyDescent="0.25">
      <c r="B149" s="2133" t="s">
        <v>575</v>
      </c>
      <c r="C149" s="2133" t="s">
        <v>576</v>
      </c>
      <c r="D149" s="2133" t="s">
        <v>2947</v>
      </c>
      <c r="E149" s="2134" t="s">
        <v>2689</v>
      </c>
      <c r="F149" s="2133">
        <v>33</v>
      </c>
      <c r="G149" s="2133">
        <v>13318</v>
      </c>
      <c r="H149" s="2133">
        <v>18</v>
      </c>
      <c r="I149" s="2133">
        <v>0</v>
      </c>
    </row>
    <row r="150" spans="2:9" ht="15.75" x14ac:dyDescent="0.25">
      <c r="B150" s="2920" t="s">
        <v>577</v>
      </c>
      <c r="C150" s="2920"/>
      <c r="D150" s="2920"/>
      <c r="E150" s="2136"/>
      <c r="F150" s="2135">
        <v>33</v>
      </c>
      <c r="G150" s="2135">
        <v>13318</v>
      </c>
      <c r="H150" s="2135">
        <v>18</v>
      </c>
      <c r="I150" s="2135">
        <v>0</v>
      </c>
    </row>
    <row r="151" spans="2:9" ht="15.75" x14ac:dyDescent="0.25">
      <c r="B151" s="2922" t="s">
        <v>578</v>
      </c>
      <c r="C151" s="2133" t="s">
        <v>579</v>
      </c>
      <c r="D151" s="2133" t="s">
        <v>414</v>
      </c>
      <c r="E151" s="2134">
        <v>43553</v>
      </c>
      <c r="F151" s="2133">
        <v>3</v>
      </c>
      <c r="G151" s="2133">
        <v>1804</v>
      </c>
      <c r="H151" s="2133">
        <v>1</v>
      </c>
      <c r="I151" s="2133">
        <v>0</v>
      </c>
    </row>
    <row r="152" spans="2:9" ht="15.75" x14ac:dyDescent="0.25">
      <c r="B152" s="2923"/>
      <c r="C152" s="2133" t="s">
        <v>580</v>
      </c>
      <c r="D152" s="2133" t="s">
        <v>411</v>
      </c>
      <c r="E152" s="2134" t="s">
        <v>2692</v>
      </c>
      <c r="F152" s="2133">
        <v>9</v>
      </c>
      <c r="G152" s="2133">
        <v>168</v>
      </c>
      <c r="H152" s="2133">
        <v>0</v>
      </c>
      <c r="I152" s="2133">
        <v>1</v>
      </c>
    </row>
    <row r="153" spans="2:9" ht="15.75" x14ac:dyDescent="0.25">
      <c r="B153" s="2923"/>
      <c r="C153" s="2133" t="s">
        <v>581</v>
      </c>
      <c r="D153" s="2133" t="s">
        <v>582</v>
      </c>
      <c r="E153" s="2134">
        <v>43367</v>
      </c>
      <c r="F153" s="2133">
        <v>42</v>
      </c>
      <c r="G153" s="2133">
        <v>39373</v>
      </c>
      <c r="H153" s="2133">
        <v>105</v>
      </c>
      <c r="I153" s="2133">
        <v>39</v>
      </c>
    </row>
    <row r="154" spans="2:9" ht="15.75" x14ac:dyDescent="0.25">
      <c r="B154" s="2923"/>
      <c r="C154" s="2133" t="s">
        <v>834</v>
      </c>
      <c r="D154" s="2133" t="s">
        <v>472</v>
      </c>
      <c r="E154" s="2134">
        <v>44629</v>
      </c>
      <c r="F154" s="2133">
        <v>32</v>
      </c>
      <c r="G154" s="2133">
        <v>0</v>
      </c>
      <c r="H154" s="2133">
        <v>0</v>
      </c>
      <c r="I154" s="2133">
        <v>0</v>
      </c>
    </row>
    <row r="155" spans="2:9" ht="15.75" x14ac:dyDescent="0.25">
      <c r="B155" s="2923"/>
      <c r="C155" s="2133" t="s">
        <v>835</v>
      </c>
      <c r="D155" s="2133" t="s">
        <v>411</v>
      </c>
      <c r="E155" s="2134" t="s">
        <v>2693</v>
      </c>
      <c r="F155" s="2133">
        <v>9</v>
      </c>
      <c r="G155" s="2133">
        <v>0</v>
      </c>
      <c r="H155" s="2133">
        <v>1</v>
      </c>
      <c r="I155" s="2133">
        <v>2</v>
      </c>
    </row>
    <row r="156" spans="2:9" ht="15.75" x14ac:dyDescent="0.25">
      <c r="B156" s="2923"/>
      <c r="C156" s="2133" t="s">
        <v>583</v>
      </c>
      <c r="D156" s="2133" t="s">
        <v>527</v>
      </c>
      <c r="E156" s="2134">
        <v>39965</v>
      </c>
      <c r="F156" s="2133">
        <v>6</v>
      </c>
      <c r="G156" s="2133">
        <v>40370</v>
      </c>
      <c r="H156" s="2133">
        <v>49</v>
      </c>
      <c r="I156" s="2133">
        <v>30</v>
      </c>
    </row>
    <row r="157" spans="2:9" ht="15.75" x14ac:dyDescent="0.25">
      <c r="B157" s="2923"/>
      <c r="C157" s="2133" t="s">
        <v>584</v>
      </c>
      <c r="D157" s="2133" t="s">
        <v>585</v>
      </c>
      <c r="E157" s="2134">
        <v>42681</v>
      </c>
      <c r="F157" s="2133">
        <v>5</v>
      </c>
      <c r="G157" s="2133">
        <v>1603</v>
      </c>
      <c r="H157" s="2133">
        <v>26</v>
      </c>
      <c r="I157" s="2133">
        <v>13</v>
      </c>
    </row>
    <row r="158" spans="2:9" ht="15.75" x14ac:dyDescent="0.25">
      <c r="B158" s="2923"/>
      <c r="C158" s="2133" t="s">
        <v>586</v>
      </c>
      <c r="D158" s="2133" t="s">
        <v>414</v>
      </c>
      <c r="E158" s="2134">
        <v>43349</v>
      </c>
      <c r="F158" s="2133">
        <v>6</v>
      </c>
      <c r="G158" s="2133">
        <v>1781</v>
      </c>
      <c r="H158" s="2133">
        <v>1</v>
      </c>
      <c r="I158" s="2133">
        <v>0</v>
      </c>
    </row>
    <row r="159" spans="2:9" ht="15.75" x14ac:dyDescent="0.25">
      <c r="B159" s="2923"/>
      <c r="C159" s="2133" t="s">
        <v>587</v>
      </c>
      <c r="D159" s="2133" t="s">
        <v>588</v>
      </c>
      <c r="E159" s="2134">
        <v>40182</v>
      </c>
      <c r="F159" s="2133">
        <v>33</v>
      </c>
      <c r="G159" s="2133">
        <v>65760</v>
      </c>
      <c r="H159" s="2133">
        <v>103</v>
      </c>
      <c r="I159" s="2133">
        <v>18</v>
      </c>
    </row>
    <row r="160" spans="2:9" ht="15.75" x14ac:dyDescent="0.25">
      <c r="B160" s="2923"/>
      <c r="C160" s="2133" t="s">
        <v>589</v>
      </c>
      <c r="D160" s="2133" t="s">
        <v>590</v>
      </c>
      <c r="E160" s="2134">
        <v>43553</v>
      </c>
      <c r="F160" s="2133">
        <v>9</v>
      </c>
      <c r="G160" s="2133">
        <v>700</v>
      </c>
      <c r="H160" s="2133">
        <v>0</v>
      </c>
      <c r="I160" s="2133">
        <v>0</v>
      </c>
    </row>
    <row r="161" spans="2:9" ht="15.75" x14ac:dyDescent="0.25">
      <c r="B161" s="2923"/>
      <c r="C161" s="2133" t="s">
        <v>836</v>
      </c>
      <c r="D161" s="2133" t="s">
        <v>411</v>
      </c>
      <c r="E161" s="2134" t="s">
        <v>2692</v>
      </c>
      <c r="F161" s="2133">
        <v>8</v>
      </c>
      <c r="G161" s="2133">
        <v>0</v>
      </c>
      <c r="H161" s="2133">
        <v>0</v>
      </c>
      <c r="I161" s="2133">
        <v>0</v>
      </c>
    </row>
    <row r="162" spans="2:9" ht="15.75" x14ac:dyDescent="0.25">
      <c r="B162" s="2923"/>
      <c r="C162" s="2133" t="s">
        <v>591</v>
      </c>
      <c r="D162" s="2133" t="s">
        <v>588</v>
      </c>
      <c r="E162" s="2134">
        <v>40056</v>
      </c>
      <c r="F162" s="2133">
        <v>87</v>
      </c>
      <c r="G162" s="2133">
        <v>132284</v>
      </c>
      <c r="H162" s="2133">
        <v>454</v>
      </c>
      <c r="I162" s="2133">
        <v>549</v>
      </c>
    </row>
    <row r="163" spans="2:9" ht="15.75" x14ac:dyDescent="0.25">
      <c r="B163" s="2923"/>
      <c r="C163" s="2133" t="s">
        <v>592</v>
      </c>
      <c r="D163" s="2133" t="s">
        <v>414</v>
      </c>
      <c r="E163" s="2134">
        <v>43553</v>
      </c>
      <c r="F163" s="2133">
        <v>7</v>
      </c>
      <c r="G163" s="2133">
        <v>4145</v>
      </c>
      <c r="H163" s="2133">
        <v>0</v>
      </c>
      <c r="I163" s="2133">
        <v>0</v>
      </c>
    </row>
    <row r="164" spans="2:9" ht="15.75" x14ac:dyDescent="0.25">
      <c r="B164" s="2923"/>
      <c r="C164" s="2133" t="s">
        <v>593</v>
      </c>
      <c r="D164" s="2133" t="s">
        <v>527</v>
      </c>
      <c r="E164" s="2134">
        <v>43553</v>
      </c>
      <c r="F164" s="2133">
        <v>30</v>
      </c>
      <c r="G164" s="2133">
        <v>11452</v>
      </c>
      <c r="H164" s="2133">
        <v>14</v>
      </c>
      <c r="I164" s="2133">
        <v>13</v>
      </c>
    </row>
    <row r="165" spans="2:9" ht="15.75" x14ac:dyDescent="0.25">
      <c r="B165" s="2923"/>
      <c r="C165" s="2133" t="s">
        <v>594</v>
      </c>
      <c r="D165" s="2133" t="s">
        <v>414</v>
      </c>
      <c r="E165" s="2134">
        <v>43349</v>
      </c>
      <c r="F165" s="2133">
        <v>8</v>
      </c>
      <c r="G165" s="2133">
        <v>2830</v>
      </c>
      <c r="H165" s="2133">
        <v>7</v>
      </c>
      <c r="I165" s="2133">
        <v>0</v>
      </c>
    </row>
    <row r="166" spans="2:9" ht="15.75" x14ac:dyDescent="0.25">
      <c r="B166" s="2923"/>
      <c r="C166" s="2133" t="s">
        <v>595</v>
      </c>
      <c r="D166" s="2133" t="s">
        <v>433</v>
      </c>
      <c r="E166" s="2134">
        <v>43349</v>
      </c>
      <c r="F166" s="2133">
        <v>27</v>
      </c>
      <c r="G166" s="2133">
        <v>10164</v>
      </c>
      <c r="H166" s="2133">
        <v>15</v>
      </c>
      <c r="I166" s="2133">
        <v>0</v>
      </c>
    </row>
    <row r="167" spans="2:9" ht="15.75" x14ac:dyDescent="0.25">
      <c r="B167" s="2923"/>
      <c r="C167" s="2133" t="s">
        <v>596</v>
      </c>
      <c r="D167" s="2133" t="s">
        <v>582</v>
      </c>
      <c r="E167" s="2134">
        <v>43553</v>
      </c>
      <c r="F167" s="2133">
        <v>6</v>
      </c>
      <c r="G167" s="2133">
        <v>3126</v>
      </c>
      <c r="H167" s="2133">
        <v>7</v>
      </c>
      <c r="I167" s="2133">
        <v>0</v>
      </c>
    </row>
    <row r="168" spans="2:9" ht="15.75" x14ac:dyDescent="0.25">
      <c r="B168" s="2923"/>
      <c r="C168" s="2133" t="s">
        <v>597</v>
      </c>
      <c r="D168" s="2133" t="s">
        <v>433</v>
      </c>
      <c r="E168" s="2134">
        <v>43553</v>
      </c>
      <c r="F168" s="2133">
        <v>12</v>
      </c>
      <c r="G168" s="2133">
        <v>11502</v>
      </c>
      <c r="H168" s="2133">
        <v>0</v>
      </c>
      <c r="I168" s="2133">
        <v>0</v>
      </c>
    </row>
    <row r="169" spans="2:9" ht="15.75" x14ac:dyDescent="0.25">
      <c r="B169" s="2923"/>
      <c r="C169" s="2133" t="s">
        <v>837</v>
      </c>
      <c r="D169" s="2133" t="s">
        <v>472</v>
      </c>
      <c r="E169" s="2134">
        <v>44629</v>
      </c>
      <c r="F169" s="2133">
        <v>14</v>
      </c>
      <c r="G169" s="2133">
        <v>0</v>
      </c>
      <c r="H169" s="2133">
        <v>0</v>
      </c>
      <c r="I169" s="2133">
        <v>0</v>
      </c>
    </row>
    <row r="170" spans="2:9" ht="15.75" x14ac:dyDescent="0.25">
      <c r="B170" s="2924"/>
      <c r="C170" s="2133" t="s">
        <v>598</v>
      </c>
      <c r="D170" s="2133" t="s">
        <v>457</v>
      </c>
      <c r="E170" s="2134">
        <v>43553</v>
      </c>
      <c r="F170" s="2133">
        <v>24</v>
      </c>
      <c r="G170" s="2133">
        <v>2172</v>
      </c>
      <c r="H170" s="2133">
        <v>4</v>
      </c>
      <c r="I170" s="2133">
        <v>1</v>
      </c>
    </row>
    <row r="171" spans="2:9" ht="15.75" x14ac:dyDescent="0.25">
      <c r="B171" s="2920" t="s">
        <v>599</v>
      </c>
      <c r="C171" s="2920"/>
      <c r="D171" s="2920"/>
      <c r="E171" s="2136"/>
      <c r="F171" s="2135">
        <v>377</v>
      </c>
      <c r="G171" s="2135">
        <v>329234</v>
      </c>
      <c r="H171" s="2135">
        <v>787</v>
      </c>
      <c r="I171" s="2135">
        <v>666</v>
      </c>
    </row>
    <row r="172" spans="2:9" ht="15.75" x14ac:dyDescent="0.25">
      <c r="B172" s="2133" t="s">
        <v>2434</v>
      </c>
      <c r="C172" s="2133" t="s">
        <v>839</v>
      </c>
      <c r="D172" s="2133" t="s">
        <v>472</v>
      </c>
      <c r="E172" s="2134">
        <v>43553</v>
      </c>
      <c r="F172" s="2133">
        <v>9</v>
      </c>
      <c r="G172" s="2133">
        <v>0</v>
      </c>
      <c r="H172" s="2133">
        <v>0</v>
      </c>
      <c r="I172" s="2133">
        <v>0</v>
      </c>
    </row>
    <row r="173" spans="2:9" ht="15.75" x14ac:dyDescent="0.25">
      <c r="B173" s="2920" t="s">
        <v>2435</v>
      </c>
      <c r="C173" s="2920"/>
      <c r="D173" s="2920"/>
      <c r="E173" s="2136"/>
      <c r="F173" s="2135">
        <v>9</v>
      </c>
      <c r="G173" s="2135">
        <v>0</v>
      </c>
      <c r="H173" s="2135">
        <v>0</v>
      </c>
      <c r="I173" s="2135">
        <v>0</v>
      </c>
    </row>
    <row r="174" spans="2:9" ht="15.75" x14ac:dyDescent="0.25">
      <c r="B174" s="2922" t="s">
        <v>600</v>
      </c>
      <c r="C174" s="2133" t="s">
        <v>840</v>
      </c>
      <c r="D174" s="2133" t="s">
        <v>411</v>
      </c>
      <c r="E174" s="2134">
        <v>44635</v>
      </c>
      <c r="F174" s="2133">
        <v>9</v>
      </c>
      <c r="G174" s="2133">
        <v>0</v>
      </c>
      <c r="H174" s="2133">
        <v>0</v>
      </c>
      <c r="I174" s="2133">
        <v>0</v>
      </c>
    </row>
    <row r="175" spans="2:9" ht="15.75" x14ac:dyDescent="0.25">
      <c r="B175" s="2923"/>
      <c r="C175" s="2133" t="s">
        <v>601</v>
      </c>
      <c r="D175" s="2133" t="s">
        <v>457</v>
      </c>
      <c r="E175" s="2134">
        <v>43553</v>
      </c>
      <c r="F175" s="2133">
        <v>32</v>
      </c>
      <c r="G175" s="2133">
        <v>1867</v>
      </c>
      <c r="H175" s="2133">
        <v>2</v>
      </c>
      <c r="I175" s="2133">
        <v>0</v>
      </c>
    </row>
    <row r="176" spans="2:9" ht="15.75" x14ac:dyDescent="0.25">
      <c r="B176" s="2920" t="s">
        <v>602</v>
      </c>
      <c r="C176" s="2920"/>
      <c r="D176" s="2920"/>
      <c r="E176" s="2136"/>
      <c r="F176" s="2135">
        <v>41</v>
      </c>
      <c r="G176" s="2135">
        <v>1867</v>
      </c>
      <c r="H176" s="2135">
        <v>2</v>
      </c>
      <c r="I176" s="2135">
        <v>0</v>
      </c>
    </row>
    <row r="177" spans="2:9" ht="15.75" x14ac:dyDescent="0.25">
      <c r="B177" s="2133" t="s">
        <v>603</v>
      </c>
      <c r="C177" s="2133" t="s">
        <v>604</v>
      </c>
      <c r="D177" s="2133" t="s">
        <v>472</v>
      </c>
      <c r="E177" s="2134">
        <v>43553</v>
      </c>
      <c r="F177" s="2133">
        <v>22</v>
      </c>
      <c r="G177" s="2133">
        <v>105</v>
      </c>
      <c r="H177" s="2133">
        <v>1</v>
      </c>
      <c r="I177" s="2133">
        <v>5</v>
      </c>
    </row>
    <row r="178" spans="2:9" ht="15.75" x14ac:dyDescent="0.25">
      <c r="B178" s="2920" t="s">
        <v>605</v>
      </c>
      <c r="C178" s="2920"/>
      <c r="D178" s="2920"/>
      <c r="E178" s="2136"/>
      <c r="F178" s="2135">
        <v>22</v>
      </c>
      <c r="G178" s="2135">
        <v>105</v>
      </c>
      <c r="H178" s="2135">
        <v>1</v>
      </c>
      <c r="I178" s="2135">
        <v>5</v>
      </c>
    </row>
    <row r="179" spans="2:9" ht="15.75" x14ac:dyDescent="0.25">
      <c r="B179" s="2922" t="s">
        <v>606</v>
      </c>
      <c r="C179" s="2133" t="s">
        <v>607</v>
      </c>
      <c r="D179" s="2133" t="s">
        <v>433</v>
      </c>
      <c r="E179" s="2134">
        <v>43371</v>
      </c>
      <c r="F179" s="2133">
        <v>128</v>
      </c>
      <c r="G179" s="2133">
        <v>163181</v>
      </c>
      <c r="H179" s="2133">
        <v>22</v>
      </c>
      <c r="I179" s="2133">
        <v>51</v>
      </c>
    </row>
    <row r="180" spans="2:9" ht="15.75" x14ac:dyDescent="0.25">
      <c r="B180" s="2923"/>
      <c r="C180" s="2133" t="s">
        <v>841</v>
      </c>
      <c r="D180" s="2133" t="s">
        <v>472</v>
      </c>
      <c r="E180" s="2134" t="s">
        <v>2694</v>
      </c>
      <c r="F180" s="2133">
        <v>18</v>
      </c>
      <c r="G180" s="2133">
        <v>0</v>
      </c>
      <c r="H180" s="2133">
        <v>0</v>
      </c>
      <c r="I180" s="2133">
        <v>0</v>
      </c>
    </row>
    <row r="181" spans="2:9" ht="15.75" x14ac:dyDescent="0.25">
      <c r="B181" s="2923"/>
      <c r="C181" s="2133" t="s">
        <v>842</v>
      </c>
      <c r="D181" s="2133" t="s">
        <v>472</v>
      </c>
      <c r="E181" s="2134" t="s">
        <v>2695</v>
      </c>
      <c r="F181" s="2133">
        <v>22</v>
      </c>
      <c r="G181" s="2133">
        <v>0</v>
      </c>
      <c r="H181" s="2133">
        <v>0</v>
      </c>
      <c r="I181" s="2133">
        <v>0</v>
      </c>
    </row>
    <row r="182" spans="2:9" ht="15.75" x14ac:dyDescent="0.25">
      <c r="B182" s="2923"/>
      <c r="C182" s="2133" t="s">
        <v>843</v>
      </c>
      <c r="D182" s="2133" t="s">
        <v>414</v>
      </c>
      <c r="E182" s="2134" t="s">
        <v>2686</v>
      </c>
      <c r="F182" s="2133">
        <v>11</v>
      </c>
      <c r="G182" s="2133">
        <v>0</v>
      </c>
      <c r="H182" s="2133">
        <v>0</v>
      </c>
      <c r="I182" s="2133">
        <v>0</v>
      </c>
    </row>
    <row r="183" spans="2:9" ht="15.75" x14ac:dyDescent="0.25">
      <c r="B183" s="2923"/>
      <c r="C183" s="2133" t="s">
        <v>844</v>
      </c>
      <c r="D183" s="2133" t="s">
        <v>472</v>
      </c>
      <c r="E183" s="2134" t="s">
        <v>2692</v>
      </c>
      <c r="F183" s="2133">
        <v>15</v>
      </c>
      <c r="G183" s="2133">
        <v>0</v>
      </c>
      <c r="H183" s="2133">
        <v>0</v>
      </c>
      <c r="I183" s="2133">
        <v>0</v>
      </c>
    </row>
    <row r="184" spans="2:9" ht="15.75" x14ac:dyDescent="0.25">
      <c r="B184" s="2923"/>
      <c r="C184" s="2133" t="s">
        <v>845</v>
      </c>
      <c r="D184" s="2133" t="s">
        <v>564</v>
      </c>
      <c r="E184" s="2134" t="s">
        <v>2673</v>
      </c>
      <c r="F184" s="2133">
        <v>56</v>
      </c>
      <c r="G184" s="2133">
        <v>0</v>
      </c>
      <c r="H184" s="2133">
        <v>0</v>
      </c>
      <c r="I184" s="2133">
        <v>0</v>
      </c>
    </row>
    <row r="185" spans="2:9" ht="15.75" x14ac:dyDescent="0.25">
      <c r="B185" s="2923"/>
      <c r="C185" s="2133" t="s">
        <v>846</v>
      </c>
      <c r="D185" s="2133" t="s">
        <v>411</v>
      </c>
      <c r="E185" s="2134" t="s">
        <v>2695</v>
      </c>
      <c r="F185" s="2133">
        <v>8</v>
      </c>
      <c r="G185" s="2133">
        <v>0</v>
      </c>
      <c r="H185" s="2133">
        <v>0</v>
      </c>
      <c r="I185" s="2133">
        <v>0</v>
      </c>
    </row>
    <row r="186" spans="2:9" ht="15.75" x14ac:dyDescent="0.25">
      <c r="B186" s="2923"/>
      <c r="C186" s="2133" t="s">
        <v>608</v>
      </c>
      <c r="D186" s="2133" t="s">
        <v>509</v>
      </c>
      <c r="E186" s="2134">
        <v>43165</v>
      </c>
      <c r="F186" s="2133">
        <v>33</v>
      </c>
      <c r="G186" s="2133">
        <v>39490</v>
      </c>
      <c r="H186" s="2133">
        <v>15</v>
      </c>
      <c r="I186" s="2133">
        <v>49</v>
      </c>
    </row>
    <row r="187" spans="2:9" ht="15.75" x14ac:dyDescent="0.25">
      <c r="B187" s="2923"/>
      <c r="C187" s="2133" t="s">
        <v>609</v>
      </c>
      <c r="D187" s="2133" t="s">
        <v>558</v>
      </c>
      <c r="E187" s="2134">
        <v>43367</v>
      </c>
      <c r="F187" s="2133">
        <v>48</v>
      </c>
      <c r="G187" s="2133">
        <v>6950</v>
      </c>
      <c r="H187" s="2133">
        <v>5</v>
      </c>
      <c r="I187" s="2133">
        <v>0</v>
      </c>
    </row>
    <row r="188" spans="2:9" ht="15.75" x14ac:dyDescent="0.25">
      <c r="B188" s="2923"/>
      <c r="C188" s="2133" t="s">
        <v>610</v>
      </c>
      <c r="D188" s="2133" t="s">
        <v>611</v>
      </c>
      <c r="E188" s="2134">
        <v>39834</v>
      </c>
      <c r="F188" s="2133">
        <v>152</v>
      </c>
      <c r="G188" s="2133">
        <v>1529948</v>
      </c>
      <c r="H188" s="2133">
        <v>3813</v>
      </c>
      <c r="I188" s="2133">
        <v>112</v>
      </c>
    </row>
    <row r="189" spans="2:9" ht="15.75" x14ac:dyDescent="0.25">
      <c r="B189" s="2923"/>
      <c r="C189" s="2133" t="s">
        <v>612</v>
      </c>
      <c r="D189" s="2133" t="s">
        <v>613</v>
      </c>
      <c r="E189" s="2134" t="s">
        <v>2672</v>
      </c>
      <c r="F189" s="2133">
        <v>31</v>
      </c>
      <c r="G189" s="2133">
        <v>0</v>
      </c>
      <c r="H189" s="2133">
        <v>0</v>
      </c>
      <c r="I189" s="2133">
        <v>12</v>
      </c>
    </row>
    <row r="190" spans="2:9" ht="15.75" x14ac:dyDescent="0.25">
      <c r="B190" s="2923"/>
      <c r="C190" s="2133" t="s">
        <v>614</v>
      </c>
      <c r="D190" s="2133" t="s">
        <v>457</v>
      </c>
      <c r="E190" s="2134">
        <v>42095</v>
      </c>
      <c r="F190" s="2133">
        <v>37</v>
      </c>
      <c r="G190" s="2133">
        <v>58332</v>
      </c>
      <c r="H190" s="2133">
        <v>35</v>
      </c>
      <c r="I190" s="2133">
        <v>112</v>
      </c>
    </row>
    <row r="191" spans="2:9" ht="15.75" x14ac:dyDescent="0.25">
      <c r="B191" s="2923"/>
      <c r="C191" s="2133" t="s">
        <v>615</v>
      </c>
      <c r="D191" s="2133" t="s">
        <v>564</v>
      </c>
      <c r="E191" s="2134">
        <v>39965</v>
      </c>
      <c r="F191" s="2133">
        <v>131</v>
      </c>
      <c r="G191" s="2133">
        <v>858890</v>
      </c>
      <c r="H191" s="2133">
        <v>609</v>
      </c>
      <c r="I191" s="2133">
        <v>350</v>
      </c>
    </row>
    <row r="192" spans="2:9" ht="15.75" x14ac:dyDescent="0.25">
      <c r="B192" s="2923"/>
      <c r="C192" s="2133" t="s">
        <v>616</v>
      </c>
      <c r="D192" s="2133" t="s">
        <v>2351</v>
      </c>
      <c r="E192" s="2134">
        <v>42142</v>
      </c>
      <c r="F192" s="2133">
        <v>77</v>
      </c>
      <c r="G192" s="2133">
        <v>29041</v>
      </c>
      <c r="H192" s="2133">
        <v>91</v>
      </c>
      <c r="I192" s="2133">
        <v>92</v>
      </c>
    </row>
    <row r="193" spans="2:9" ht="15.75" x14ac:dyDescent="0.25">
      <c r="B193" s="2923"/>
      <c r="C193" s="2133" t="s">
        <v>617</v>
      </c>
      <c r="D193" s="2133" t="s">
        <v>611</v>
      </c>
      <c r="E193" s="2134">
        <v>42095</v>
      </c>
      <c r="F193" s="2133">
        <v>75</v>
      </c>
      <c r="G193" s="2133">
        <v>127044</v>
      </c>
      <c r="H193" s="2133">
        <v>25</v>
      </c>
      <c r="I193" s="2133">
        <v>30</v>
      </c>
    </row>
    <row r="194" spans="2:9" ht="15.75" x14ac:dyDescent="0.25">
      <c r="B194" s="2923"/>
      <c r="C194" s="2133" t="s">
        <v>618</v>
      </c>
      <c r="D194" s="2133" t="s">
        <v>558</v>
      </c>
      <c r="E194" s="2134">
        <v>42591</v>
      </c>
      <c r="F194" s="2133">
        <v>33</v>
      </c>
      <c r="G194" s="2133">
        <v>26027</v>
      </c>
      <c r="H194" s="2133">
        <v>16</v>
      </c>
      <c r="I194" s="2133">
        <v>55</v>
      </c>
    </row>
    <row r="195" spans="2:9" ht="15.75" x14ac:dyDescent="0.25">
      <c r="B195" s="2923"/>
      <c r="C195" s="2133" t="s">
        <v>619</v>
      </c>
      <c r="D195" s="2133" t="s">
        <v>433</v>
      </c>
      <c r="E195" s="2134">
        <v>43371</v>
      </c>
      <c r="F195" s="2133">
        <v>85</v>
      </c>
      <c r="G195" s="2133">
        <v>89068</v>
      </c>
      <c r="H195" s="2133">
        <v>16</v>
      </c>
      <c r="I195" s="2133">
        <v>3</v>
      </c>
    </row>
    <row r="196" spans="2:9" ht="15.75" x14ac:dyDescent="0.25">
      <c r="B196" s="2923"/>
      <c r="C196" s="2133" t="s">
        <v>620</v>
      </c>
      <c r="D196" s="2133" t="s">
        <v>564</v>
      </c>
      <c r="E196" s="2134">
        <v>43349</v>
      </c>
      <c r="F196" s="2133">
        <v>19</v>
      </c>
      <c r="G196" s="2133">
        <v>12895</v>
      </c>
      <c r="H196" s="2133">
        <v>8</v>
      </c>
      <c r="I196" s="2133">
        <v>0</v>
      </c>
    </row>
    <row r="197" spans="2:9" ht="15.75" x14ac:dyDescent="0.25">
      <c r="B197" s="2923"/>
      <c r="C197" s="2133" t="s">
        <v>621</v>
      </c>
      <c r="D197" s="2133" t="s">
        <v>622</v>
      </c>
      <c r="E197" s="2134">
        <v>42800</v>
      </c>
      <c r="F197" s="2133">
        <v>32</v>
      </c>
      <c r="G197" s="2133">
        <v>44839</v>
      </c>
      <c r="H197" s="2133">
        <v>4</v>
      </c>
      <c r="I197" s="2133">
        <v>7</v>
      </c>
    </row>
    <row r="198" spans="2:9" ht="15.75" x14ac:dyDescent="0.25">
      <c r="B198" s="2924"/>
      <c r="C198" s="2133" t="s">
        <v>623</v>
      </c>
      <c r="D198" s="2133" t="s">
        <v>611</v>
      </c>
      <c r="E198" s="2134">
        <v>40029</v>
      </c>
      <c r="F198" s="2133">
        <v>182</v>
      </c>
      <c r="G198" s="2133">
        <v>1488493</v>
      </c>
      <c r="H198" s="2133">
        <v>1418</v>
      </c>
      <c r="I198" s="2133">
        <v>444</v>
      </c>
    </row>
    <row r="199" spans="2:9" ht="15.75" x14ac:dyDescent="0.25">
      <c r="B199" s="2920" t="s">
        <v>624</v>
      </c>
      <c r="C199" s="2920"/>
      <c r="D199" s="2920"/>
      <c r="E199" s="2136"/>
      <c r="F199" s="2135">
        <v>1193</v>
      </c>
      <c r="G199" s="2135">
        <v>4474198</v>
      </c>
      <c r="H199" s="2135">
        <v>6077</v>
      </c>
      <c r="I199" s="2135">
        <v>1317</v>
      </c>
    </row>
    <row r="200" spans="2:9" ht="15.75" x14ac:dyDescent="0.25">
      <c r="B200" s="2133" t="s">
        <v>625</v>
      </c>
      <c r="C200" s="2133" t="s">
        <v>626</v>
      </c>
      <c r="D200" s="2133" t="s">
        <v>564</v>
      </c>
      <c r="E200" s="2134">
        <v>43371</v>
      </c>
      <c r="F200" s="2133">
        <v>113</v>
      </c>
      <c r="G200" s="2133">
        <v>234581</v>
      </c>
      <c r="H200" s="2133">
        <v>22</v>
      </c>
      <c r="I200" s="2133">
        <v>73</v>
      </c>
    </row>
    <row r="201" spans="2:9" ht="15.75" x14ac:dyDescent="0.25">
      <c r="B201" s="2920" t="s">
        <v>627</v>
      </c>
      <c r="C201" s="2920"/>
      <c r="D201" s="2920"/>
      <c r="E201" s="2136"/>
      <c r="F201" s="2135">
        <v>113</v>
      </c>
      <c r="G201" s="2135">
        <v>234581</v>
      </c>
      <c r="H201" s="2135">
        <v>22</v>
      </c>
      <c r="I201" s="2135">
        <v>73</v>
      </c>
    </row>
    <row r="202" spans="2:9" ht="15.75" x14ac:dyDescent="0.25">
      <c r="B202" s="2133" t="s">
        <v>795</v>
      </c>
      <c r="C202" s="2133" t="s">
        <v>847</v>
      </c>
      <c r="D202" s="2133" t="s">
        <v>472</v>
      </c>
      <c r="E202" s="2134">
        <v>44629</v>
      </c>
      <c r="F202" s="2133">
        <v>18</v>
      </c>
      <c r="G202" s="2133">
        <v>214</v>
      </c>
      <c r="H202" s="2133">
        <v>1</v>
      </c>
      <c r="I202" s="2133">
        <v>0</v>
      </c>
    </row>
    <row r="203" spans="2:9" ht="15.75" x14ac:dyDescent="0.25">
      <c r="B203" s="2920" t="s">
        <v>848</v>
      </c>
      <c r="C203" s="2920"/>
      <c r="D203" s="2920"/>
      <c r="E203" s="2136"/>
      <c r="F203" s="2135">
        <v>18</v>
      </c>
      <c r="G203" s="2135">
        <v>214</v>
      </c>
      <c r="H203" s="2135">
        <v>1</v>
      </c>
      <c r="I203" s="2135">
        <v>0</v>
      </c>
    </row>
    <row r="204" spans="2:9" ht="15.75" x14ac:dyDescent="0.25">
      <c r="B204" s="2133" t="s">
        <v>1493</v>
      </c>
      <c r="C204" s="2133" t="s">
        <v>2436</v>
      </c>
      <c r="D204" s="2133" t="s">
        <v>2948</v>
      </c>
      <c r="E204" s="2134" t="s">
        <v>2696</v>
      </c>
      <c r="F204" s="2133">
        <v>4</v>
      </c>
      <c r="G204" s="2133">
        <v>0</v>
      </c>
      <c r="H204" s="2133">
        <v>0</v>
      </c>
      <c r="I204" s="2133">
        <v>0</v>
      </c>
    </row>
    <row r="205" spans="2:9" ht="15.75" x14ac:dyDescent="0.25">
      <c r="B205" s="2920" t="s">
        <v>2437</v>
      </c>
      <c r="C205" s="2920"/>
      <c r="D205" s="2920"/>
      <c r="E205" s="2136"/>
      <c r="F205" s="2135">
        <v>4</v>
      </c>
      <c r="G205" s="2135">
        <v>0</v>
      </c>
      <c r="H205" s="2135">
        <v>0</v>
      </c>
      <c r="I205" s="2135">
        <v>0</v>
      </c>
    </row>
    <row r="206" spans="2:9" ht="15.75" x14ac:dyDescent="0.25">
      <c r="B206" s="2133" t="s">
        <v>628</v>
      </c>
      <c r="C206" s="2133" t="s">
        <v>629</v>
      </c>
      <c r="D206" s="2133" t="s">
        <v>513</v>
      </c>
      <c r="E206" s="2134">
        <v>39822</v>
      </c>
      <c r="F206" s="2133">
        <v>457</v>
      </c>
      <c r="G206" s="2133">
        <v>1929512</v>
      </c>
      <c r="H206" s="2133">
        <v>4827</v>
      </c>
      <c r="I206" s="2133">
        <v>1879</v>
      </c>
    </row>
    <row r="207" spans="2:9" ht="15.75" x14ac:dyDescent="0.25">
      <c r="B207" s="2920" t="s">
        <v>630</v>
      </c>
      <c r="C207" s="2920"/>
      <c r="D207" s="2920"/>
      <c r="E207" s="2136"/>
      <c r="F207" s="2135">
        <v>457</v>
      </c>
      <c r="G207" s="2135">
        <v>1929512</v>
      </c>
      <c r="H207" s="2135">
        <v>4827</v>
      </c>
      <c r="I207" s="2135">
        <v>1879</v>
      </c>
    </row>
    <row r="208" spans="2:9" ht="15.75" x14ac:dyDescent="0.25">
      <c r="B208" s="2922" t="s">
        <v>631</v>
      </c>
      <c r="C208" s="2133" t="s">
        <v>632</v>
      </c>
      <c r="D208" s="2133" t="s">
        <v>433</v>
      </c>
      <c r="E208" s="2134" t="s">
        <v>2697</v>
      </c>
      <c r="F208" s="2133">
        <v>14</v>
      </c>
      <c r="G208" s="2133">
        <v>8122</v>
      </c>
      <c r="H208" s="2133">
        <v>48</v>
      </c>
      <c r="I208" s="2133">
        <v>2</v>
      </c>
    </row>
    <row r="209" spans="2:9" ht="15.75" x14ac:dyDescent="0.25">
      <c r="B209" s="2923"/>
      <c r="C209" s="2133" t="s">
        <v>849</v>
      </c>
      <c r="D209" s="2133" t="s">
        <v>472</v>
      </c>
      <c r="E209" s="2134" t="s">
        <v>2698</v>
      </c>
      <c r="F209" s="2133">
        <v>13</v>
      </c>
      <c r="G209" s="2133">
        <v>690</v>
      </c>
      <c r="H209" s="2133">
        <v>0</v>
      </c>
      <c r="I209" s="2133">
        <v>0</v>
      </c>
    </row>
    <row r="210" spans="2:9" ht="15.75" x14ac:dyDescent="0.25">
      <c r="B210" s="2923"/>
      <c r="C210" s="2133" t="s">
        <v>633</v>
      </c>
      <c r="D210" s="2133" t="s">
        <v>433</v>
      </c>
      <c r="E210" s="2134" t="s">
        <v>2680</v>
      </c>
      <c r="F210" s="2133">
        <v>27</v>
      </c>
      <c r="G210" s="2133">
        <v>8188</v>
      </c>
      <c r="H210" s="2133">
        <v>25</v>
      </c>
      <c r="I210" s="2133">
        <v>0</v>
      </c>
    </row>
    <row r="211" spans="2:9" ht="15.75" x14ac:dyDescent="0.25">
      <c r="B211" s="2923"/>
      <c r="C211" s="2133" t="s">
        <v>634</v>
      </c>
      <c r="D211" s="2133" t="s">
        <v>440</v>
      </c>
      <c r="E211" s="2134" t="s">
        <v>2699</v>
      </c>
      <c r="F211" s="2133">
        <v>14</v>
      </c>
      <c r="G211" s="2133">
        <v>37946</v>
      </c>
      <c r="H211" s="2133">
        <v>11</v>
      </c>
      <c r="I211" s="2133">
        <v>1</v>
      </c>
    </row>
    <row r="212" spans="2:9" ht="15.75" x14ac:dyDescent="0.25">
      <c r="B212" s="2923"/>
      <c r="C212" s="2133" t="s">
        <v>2352</v>
      </c>
      <c r="D212" s="2133" t="s">
        <v>527</v>
      </c>
      <c r="E212" s="2134" t="s">
        <v>2700</v>
      </c>
      <c r="F212" s="2133">
        <v>4</v>
      </c>
      <c r="G212" s="2133">
        <v>1481</v>
      </c>
      <c r="H212" s="2133">
        <v>0</v>
      </c>
      <c r="I212" s="2133">
        <v>0</v>
      </c>
    </row>
    <row r="213" spans="2:9" ht="15.75" x14ac:dyDescent="0.25">
      <c r="B213" s="2923"/>
      <c r="C213" s="2133" t="s">
        <v>635</v>
      </c>
      <c r="D213" s="2133" t="s">
        <v>527</v>
      </c>
      <c r="E213" s="2134" t="s">
        <v>2701</v>
      </c>
      <c r="F213" s="2133">
        <v>11</v>
      </c>
      <c r="G213" s="2133">
        <v>8156</v>
      </c>
      <c r="H213" s="2133">
        <v>18</v>
      </c>
      <c r="I213" s="2133">
        <v>0</v>
      </c>
    </row>
    <row r="214" spans="2:9" ht="15.75" x14ac:dyDescent="0.25">
      <c r="B214" s="2923"/>
      <c r="C214" s="2133" t="s">
        <v>636</v>
      </c>
      <c r="D214" s="2133" t="s">
        <v>433</v>
      </c>
      <c r="E214" s="2134" t="s">
        <v>2702</v>
      </c>
      <c r="F214" s="2133">
        <v>9</v>
      </c>
      <c r="G214" s="2133">
        <v>10902</v>
      </c>
      <c r="H214" s="2133">
        <v>9</v>
      </c>
      <c r="I214" s="2133">
        <v>1</v>
      </c>
    </row>
    <row r="215" spans="2:9" ht="15.75" x14ac:dyDescent="0.25">
      <c r="B215" s="2923"/>
      <c r="C215" s="2133" t="s">
        <v>637</v>
      </c>
      <c r="D215" s="2133" t="s">
        <v>433</v>
      </c>
      <c r="E215" s="2134" t="s">
        <v>2702</v>
      </c>
      <c r="F215" s="2133">
        <v>25</v>
      </c>
      <c r="G215" s="2133">
        <v>11921</v>
      </c>
      <c r="H215" s="2133">
        <v>28</v>
      </c>
      <c r="I215" s="2133">
        <v>3</v>
      </c>
    </row>
    <row r="216" spans="2:9" ht="15.75" x14ac:dyDescent="0.25">
      <c r="B216" s="2923"/>
      <c r="C216" s="2133" t="s">
        <v>638</v>
      </c>
      <c r="D216" s="2133" t="s">
        <v>440</v>
      </c>
      <c r="E216" s="2134" t="s">
        <v>2699</v>
      </c>
      <c r="F216" s="2133">
        <v>24</v>
      </c>
      <c r="G216" s="2133">
        <v>76911</v>
      </c>
      <c r="H216" s="2133">
        <v>32</v>
      </c>
      <c r="I216" s="2133">
        <v>2</v>
      </c>
    </row>
    <row r="217" spans="2:9" ht="15.75" x14ac:dyDescent="0.25">
      <c r="B217" s="2923"/>
      <c r="C217" s="2133" t="s">
        <v>850</v>
      </c>
      <c r="D217" s="2133" t="s">
        <v>472</v>
      </c>
      <c r="E217" s="2134" t="s">
        <v>2703</v>
      </c>
      <c r="F217" s="2133">
        <v>4</v>
      </c>
      <c r="G217" s="2133">
        <v>0</v>
      </c>
      <c r="H217" s="2133">
        <v>0</v>
      </c>
      <c r="I217" s="2133">
        <v>0</v>
      </c>
    </row>
    <row r="218" spans="2:9" ht="15.75" x14ac:dyDescent="0.25">
      <c r="B218" s="2923"/>
      <c r="C218" s="2133" t="s">
        <v>639</v>
      </c>
      <c r="D218" s="2133" t="s">
        <v>411</v>
      </c>
      <c r="E218" s="2134" t="s">
        <v>2704</v>
      </c>
      <c r="F218" s="2133">
        <v>3</v>
      </c>
      <c r="G218" s="2133">
        <v>32</v>
      </c>
      <c r="H218" s="2133">
        <v>0</v>
      </c>
      <c r="I218" s="2133">
        <v>0</v>
      </c>
    </row>
    <row r="219" spans="2:9" ht="15.75" x14ac:dyDescent="0.25">
      <c r="B219" s="2923"/>
      <c r="C219" s="2133" t="s">
        <v>640</v>
      </c>
      <c r="D219" s="2133" t="s">
        <v>527</v>
      </c>
      <c r="E219" s="2134" t="s">
        <v>2701</v>
      </c>
      <c r="F219" s="2133">
        <v>11</v>
      </c>
      <c r="G219" s="2133">
        <v>20648</v>
      </c>
      <c r="H219" s="2133">
        <v>19</v>
      </c>
      <c r="I219" s="2133">
        <v>0</v>
      </c>
    </row>
    <row r="220" spans="2:9" ht="15.75" x14ac:dyDescent="0.25">
      <c r="B220" s="2920" t="s">
        <v>641</v>
      </c>
      <c r="C220" s="2920"/>
      <c r="D220" s="2920"/>
      <c r="E220" s="2136"/>
      <c r="F220" s="2135">
        <v>159</v>
      </c>
      <c r="G220" s="2135">
        <v>184997</v>
      </c>
      <c r="H220" s="2135">
        <v>190</v>
      </c>
      <c r="I220" s="2135">
        <v>9</v>
      </c>
    </row>
    <row r="221" spans="2:9" ht="15.75" x14ac:dyDescent="0.25">
      <c r="B221" s="2922" t="s">
        <v>851</v>
      </c>
      <c r="C221" s="2133" t="s">
        <v>852</v>
      </c>
      <c r="D221" s="2133" t="s">
        <v>853</v>
      </c>
      <c r="E221" s="2134">
        <v>44781</v>
      </c>
      <c r="F221" s="2133">
        <v>8</v>
      </c>
      <c r="G221" s="2133">
        <v>0</v>
      </c>
      <c r="H221" s="2133">
        <v>0</v>
      </c>
      <c r="I221" s="2133">
        <v>0</v>
      </c>
    </row>
    <row r="222" spans="2:9" ht="15.75" x14ac:dyDescent="0.25">
      <c r="B222" s="2923"/>
      <c r="C222" s="2133" t="s">
        <v>854</v>
      </c>
      <c r="D222" s="2133" t="s">
        <v>855</v>
      </c>
      <c r="E222" s="2134" t="s">
        <v>2705</v>
      </c>
      <c r="F222" s="2133">
        <v>2</v>
      </c>
      <c r="G222" s="2133">
        <v>0</v>
      </c>
      <c r="H222" s="2133">
        <v>0</v>
      </c>
      <c r="I222" s="2133">
        <v>2</v>
      </c>
    </row>
    <row r="223" spans="2:9" ht="15.75" x14ac:dyDescent="0.25">
      <c r="B223" s="2920" t="s">
        <v>856</v>
      </c>
      <c r="C223" s="2920"/>
      <c r="D223" s="2920"/>
      <c r="E223" s="2136"/>
      <c r="F223" s="2135">
        <v>10</v>
      </c>
      <c r="G223" s="2135">
        <v>0</v>
      </c>
      <c r="H223" s="2135">
        <v>0</v>
      </c>
      <c r="I223" s="2135">
        <v>2</v>
      </c>
    </row>
    <row r="224" spans="2:9" ht="15.75" x14ac:dyDescent="0.25">
      <c r="B224" s="2133" t="s">
        <v>642</v>
      </c>
      <c r="C224" s="2133" t="s">
        <v>643</v>
      </c>
      <c r="D224" s="2133" t="s">
        <v>2351</v>
      </c>
      <c r="E224" s="2134">
        <v>43371</v>
      </c>
      <c r="F224" s="2133">
        <v>9</v>
      </c>
      <c r="G224" s="2133">
        <v>728</v>
      </c>
      <c r="H224" s="2133">
        <v>7</v>
      </c>
      <c r="I224" s="2133">
        <v>1</v>
      </c>
    </row>
    <row r="225" spans="2:9" ht="15.75" x14ac:dyDescent="0.25">
      <c r="B225" s="2920" t="s">
        <v>644</v>
      </c>
      <c r="C225" s="2920"/>
      <c r="D225" s="2920"/>
      <c r="E225" s="2136"/>
      <c r="F225" s="2135">
        <v>9</v>
      </c>
      <c r="G225" s="2135">
        <v>728</v>
      </c>
      <c r="H225" s="2135">
        <v>7</v>
      </c>
      <c r="I225" s="2135">
        <v>1</v>
      </c>
    </row>
    <row r="226" spans="2:9" ht="15.75" x14ac:dyDescent="0.25">
      <c r="B226" s="2922" t="s">
        <v>645</v>
      </c>
      <c r="C226" s="2133" t="s">
        <v>646</v>
      </c>
      <c r="D226" s="2133" t="s">
        <v>457</v>
      </c>
      <c r="E226" s="2134">
        <v>42129</v>
      </c>
      <c r="F226" s="2133">
        <v>17</v>
      </c>
      <c r="G226" s="2133">
        <v>33778</v>
      </c>
      <c r="H226" s="2133">
        <v>540</v>
      </c>
      <c r="I226" s="2133">
        <v>16</v>
      </c>
    </row>
    <row r="227" spans="2:9" ht="15.75" x14ac:dyDescent="0.25">
      <c r="B227" s="2923"/>
      <c r="C227" s="2133" t="s">
        <v>647</v>
      </c>
      <c r="D227" s="2133" t="s">
        <v>457</v>
      </c>
      <c r="E227" s="2134">
        <v>42500</v>
      </c>
      <c r="F227" s="2133">
        <v>19</v>
      </c>
      <c r="G227" s="2133">
        <v>14182</v>
      </c>
      <c r="H227" s="2133">
        <v>23</v>
      </c>
      <c r="I227" s="2133">
        <v>2</v>
      </c>
    </row>
    <row r="228" spans="2:9" ht="15.75" x14ac:dyDescent="0.25">
      <c r="B228" s="2923"/>
      <c r="C228" s="2133" t="s">
        <v>648</v>
      </c>
      <c r="D228" s="2133" t="s">
        <v>464</v>
      </c>
      <c r="E228" s="2134">
        <v>42556</v>
      </c>
      <c r="F228" s="2133">
        <v>16</v>
      </c>
      <c r="G228" s="2133">
        <v>6927</v>
      </c>
      <c r="H228" s="2133">
        <v>102</v>
      </c>
      <c r="I228" s="2133">
        <v>208</v>
      </c>
    </row>
    <row r="229" spans="2:9" ht="15.75" x14ac:dyDescent="0.25">
      <c r="B229" s="2923"/>
      <c r="C229" s="2133" t="s">
        <v>649</v>
      </c>
      <c r="D229" s="2133" t="s">
        <v>457</v>
      </c>
      <c r="E229" s="2134" t="s">
        <v>2682</v>
      </c>
      <c r="F229" s="2133">
        <v>27</v>
      </c>
      <c r="G229" s="2133">
        <v>3782</v>
      </c>
      <c r="H229" s="2133">
        <v>12</v>
      </c>
      <c r="I229" s="2133">
        <v>4</v>
      </c>
    </row>
    <row r="230" spans="2:9" ht="15.75" x14ac:dyDescent="0.25">
      <c r="B230" s="2923"/>
      <c r="C230" s="2133" t="s">
        <v>650</v>
      </c>
      <c r="D230" s="2133" t="s">
        <v>457</v>
      </c>
      <c r="E230" s="2134">
        <v>43553</v>
      </c>
      <c r="F230" s="2133">
        <v>40</v>
      </c>
      <c r="G230" s="2133">
        <v>8574</v>
      </c>
      <c r="H230" s="2133">
        <v>21</v>
      </c>
      <c r="I230" s="2133">
        <v>2</v>
      </c>
    </row>
    <row r="231" spans="2:9" ht="15.75" x14ac:dyDescent="0.25">
      <c r="B231" s="2923"/>
      <c r="C231" s="2133" t="s">
        <v>651</v>
      </c>
      <c r="D231" s="2133" t="s">
        <v>652</v>
      </c>
      <c r="E231" s="2134">
        <v>43399</v>
      </c>
      <c r="F231" s="2133">
        <v>23</v>
      </c>
      <c r="G231" s="2133">
        <v>15623</v>
      </c>
      <c r="H231" s="2133">
        <v>88</v>
      </c>
      <c r="I231" s="2133">
        <v>36</v>
      </c>
    </row>
    <row r="232" spans="2:9" ht="15.75" x14ac:dyDescent="0.25">
      <c r="B232" s="2923"/>
      <c r="C232" s="2133" t="s">
        <v>2949</v>
      </c>
      <c r="D232" s="2133" t="s">
        <v>472</v>
      </c>
      <c r="E232" s="2134">
        <v>41523</v>
      </c>
      <c r="F232" s="2133">
        <v>11</v>
      </c>
      <c r="G232" s="2133">
        <v>469</v>
      </c>
      <c r="H232" s="2133">
        <v>0</v>
      </c>
      <c r="I232" s="2133">
        <v>0</v>
      </c>
    </row>
    <row r="233" spans="2:9" ht="15.75" x14ac:dyDescent="0.25">
      <c r="B233" s="2923"/>
      <c r="C233" s="2133" t="s">
        <v>653</v>
      </c>
      <c r="D233" s="2133" t="s">
        <v>652</v>
      </c>
      <c r="E233" s="2134">
        <v>43399</v>
      </c>
      <c r="F233" s="2133">
        <v>31</v>
      </c>
      <c r="G233" s="2133">
        <v>16521</v>
      </c>
      <c r="H233" s="2133">
        <v>96</v>
      </c>
      <c r="I233" s="2133">
        <v>94</v>
      </c>
    </row>
    <row r="234" spans="2:9" ht="15.75" x14ac:dyDescent="0.25">
      <c r="B234" s="2923"/>
      <c r="C234" s="2133" t="s">
        <v>857</v>
      </c>
      <c r="D234" s="2133" t="s">
        <v>858</v>
      </c>
      <c r="E234" s="2134">
        <v>42180</v>
      </c>
      <c r="F234" s="2133">
        <v>3</v>
      </c>
      <c r="G234" s="2133">
        <v>0</v>
      </c>
      <c r="H234" s="2133">
        <v>0</v>
      </c>
      <c r="I234" s="2133">
        <v>0</v>
      </c>
    </row>
    <row r="235" spans="2:9" ht="15.75" x14ac:dyDescent="0.25">
      <c r="B235" s="2923"/>
      <c r="C235" s="2133" t="s">
        <v>859</v>
      </c>
      <c r="D235" s="2133" t="s">
        <v>414</v>
      </c>
      <c r="E235" s="2134" t="s">
        <v>2706</v>
      </c>
      <c r="F235" s="2133">
        <v>4</v>
      </c>
      <c r="G235" s="2133">
        <v>0</v>
      </c>
      <c r="H235" s="2133">
        <v>0</v>
      </c>
      <c r="I235" s="2133">
        <v>0</v>
      </c>
    </row>
    <row r="236" spans="2:9" ht="15.75" x14ac:dyDescent="0.25">
      <c r="B236" s="2923"/>
      <c r="C236" s="2133" t="s">
        <v>654</v>
      </c>
      <c r="D236" s="2133" t="s">
        <v>433</v>
      </c>
      <c r="E236" s="2134">
        <v>42531</v>
      </c>
      <c r="F236" s="2133">
        <v>20</v>
      </c>
      <c r="G236" s="2133">
        <v>10843</v>
      </c>
      <c r="H236" s="2133">
        <v>66</v>
      </c>
      <c r="I236" s="2133">
        <v>0</v>
      </c>
    </row>
    <row r="237" spans="2:9" ht="15.75" x14ac:dyDescent="0.25">
      <c r="B237" s="2923"/>
      <c r="C237" s="2133" t="s">
        <v>655</v>
      </c>
      <c r="D237" s="2133" t="s">
        <v>2351</v>
      </c>
      <c r="E237" s="2134">
        <v>43369</v>
      </c>
      <c r="F237" s="2133">
        <v>45</v>
      </c>
      <c r="G237" s="2133">
        <v>14795</v>
      </c>
      <c r="H237" s="2133">
        <v>84</v>
      </c>
      <c r="I237" s="2133">
        <v>29</v>
      </c>
    </row>
    <row r="238" spans="2:9" ht="15.75" x14ac:dyDescent="0.25">
      <c r="B238" s="2924"/>
      <c r="C238" s="2133" t="s">
        <v>860</v>
      </c>
      <c r="D238" s="2133" t="s">
        <v>411</v>
      </c>
      <c r="E238" s="2134">
        <v>44691</v>
      </c>
      <c r="F238" s="2133">
        <v>6</v>
      </c>
      <c r="G238" s="2133">
        <v>13</v>
      </c>
      <c r="H238" s="2133">
        <v>0</v>
      </c>
      <c r="I238" s="2133">
        <v>1</v>
      </c>
    </row>
    <row r="239" spans="2:9" ht="15.75" x14ac:dyDescent="0.25">
      <c r="B239" s="2920" t="s">
        <v>656</v>
      </c>
      <c r="C239" s="2920"/>
      <c r="D239" s="2920"/>
      <c r="E239" s="2136"/>
      <c r="F239" s="2135">
        <v>262</v>
      </c>
      <c r="G239" s="2135">
        <v>125507</v>
      </c>
      <c r="H239" s="2135">
        <v>1032</v>
      </c>
      <c r="I239" s="2135">
        <v>392</v>
      </c>
    </row>
    <row r="240" spans="2:9" ht="15.75" x14ac:dyDescent="0.25">
      <c r="B240" s="2133" t="s">
        <v>657</v>
      </c>
      <c r="C240" s="2133" t="s">
        <v>658</v>
      </c>
      <c r="D240" s="2133" t="s">
        <v>433</v>
      </c>
      <c r="E240" s="2134">
        <v>44685</v>
      </c>
      <c r="F240" s="2133">
        <v>34</v>
      </c>
      <c r="G240" s="2133">
        <v>39274</v>
      </c>
      <c r="H240" s="2133">
        <v>0</v>
      </c>
      <c r="I240" s="2133">
        <v>0</v>
      </c>
    </row>
    <row r="241" spans="2:9" ht="15.75" x14ac:dyDescent="0.25">
      <c r="B241" s="2920" t="s">
        <v>659</v>
      </c>
      <c r="C241" s="2920"/>
      <c r="D241" s="2920"/>
      <c r="E241" s="2136"/>
      <c r="F241" s="2135">
        <v>34</v>
      </c>
      <c r="G241" s="2135">
        <v>39274</v>
      </c>
      <c r="H241" s="2135">
        <v>0</v>
      </c>
      <c r="I241" s="2135">
        <v>0</v>
      </c>
    </row>
    <row r="242" spans="2:9" ht="15.75" x14ac:dyDescent="0.25">
      <c r="B242" s="2922" t="s">
        <v>223</v>
      </c>
      <c r="C242" s="2133" t="s">
        <v>660</v>
      </c>
      <c r="D242" s="2133" t="s">
        <v>513</v>
      </c>
      <c r="E242" s="2134">
        <v>43553</v>
      </c>
      <c r="F242" s="2133">
        <v>78</v>
      </c>
      <c r="G242" s="2133">
        <v>272076</v>
      </c>
      <c r="H242" s="2133">
        <v>43</v>
      </c>
      <c r="I242" s="2133">
        <v>23</v>
      </c>
    </row>
    <row r="243" spans="2:9" ht="15.75" x14ac:dyDescent="0.25">
      <c r="B243" s="2923"/>
      <c r="C243" s="2133" t="s">
        <v>661</v>
      </c>
      <c r="D243" s="2133" t="s">
        <v>662</v>
      </c>
      <c r="E243" s="2134" t="s">
        <v>2707</v>
      </c>
      <c r="F243" s="2133">
        <v>73</v>
      </c>
      <c r="G243" s="2133">
        <v>16939</v>
      </c>
      <c r="H243" s="2133">
        <v>67</v>
      </c>
      <c r="I243" s="2133">
        <v>61</v>
      </c>
    </row>
    <row r="244" spans="2:9" ht="15.75" x14ac:dyDescent="0.25">
      <c r="B244" s="2923"/>
      <c r="C244" s="2133" t="s">
        <v>663</v>
      </c>
      <c r="D244" s="2133" t="s">
        <v>664</v>
      </c>
      <c r="E244" s="2134">
        <v>43371</v>
      </c>
      <c r="F244" s="2133">
        <v>46</v>
      </c>
      <c r="G244" s="2133">
        <v>51005</v>
      </c>
      <c r="H244" s="2133">
        <v>184</v>
      </c>
      <c r="I244" s="2133">
        <v>131</v>
      </c>
    </row>
    <row r="245" spans="2:9" ht="15.75" x14ac:dyDescent="0.25">
      <c r="B245" s="2923"/>
      <c r="C245" s="2133" t="s">
        <v>665</v>
      </c>
      <c r="D245" s="2133" t="s">
        <v>472</v>
      </c>
      <c r="E245" s="2134">
        <v>43357</v>
      </c>
      <c r="F245" s="2133">
        <v>20</v>
      </c>
      <c r="G245" s="2133">
        <v>4735</v>
      </c>
      <c r="H245" s="2133">
        <v>13</v>
      </c>
      <c r="I245" s="2133">
        <v>14</v>
      </c>
    </row>
    <row r="246" spans="2:9" ht="15.75" x14ac:dyDescent="0.25">
      <c r="B246" s="2923"/>
      <c r="C246" s="2133" t="s">
        <v>666</v>
      </c>
      <c r="D246" s="2133" t="s">
        <v>667</v>
      </c>
      <c r="E246" s="2134">
        <v>43313</v>
      </c>
      <c r="F246" s="2133">
        <v>5</v>
      </c>
      <c r="G246" s="2133">
        <v>7032</v>
      </c>
      <c r="H246" s="2133">
        <v>25</v>
      </c>
      <c r="I246" s="2133">
        <v>359</v>
      </c>
    </row>
    <row r="247" spans="2:9" ht="15.75" x14ac:dyDescent="0.25">
      <c r="B247" s="2923"/>
      <c r="C247" s="2133" t="s">
        <v>861</v>
      </c>
      <c r="D247" s="2133" t="s">
        <v>862</v>
      </c>
      <c r="E247" s="2134">
        <v>44635</v>
      </c>
      <c r="F247" s="2133">
        <v>11</v>
      </c>
      <c r="G247" s="2133">
        <v>0</v>
      </c>
      <c r="H247" s="2133">
        <v>0</v>
      </c>
      <c r="I247" s="2133">
        <v>5</v>
      </c>
    </row>
    <row r="248" spans="2:9" ht="15.75" x14ac:dyDescent="0.25">
      <c r="B248" s="2923"/>
      <c r="C248" s="2133" t="s">
        <v>668</v>
      </c>
      <c r="D248" s="2133" t="s">
        <v>472</v>
      </c>
      <c r="E248" s="2134">
        <v>43356</v>
      </c>
      <c r="F248" s="2133">
        <v>43</v>
      </c>
      <c r="G248" s="2133">
        <v>27361</v>
      </c>
      <c r="H248" s="2133">
        <v>9</v>
      </c>
      <c r="I248" s="2133">
        <v>2</v>
      </c>
    </row>
    <row r="249" spans="2:9" ht="15.75" x14ac:dyDescent="0.25">
      <c r="B249" s="2923"/>
      <c r="C249" s="2133" t="s">
        <v>669</v>
      </c>
      <c r="D249" s="2133" t="s">
        <v>529</v>
      </c>
      <c r="E249" s="2134">
        <v>44635</v>
      </c>
      <c r="F249" s="2133">
        <v>55</v>
      </c>
      <c r="G249" s="2133">
        <v>7778</v>
      </c>
      <c r="H249" s="2133">
        <v>0</v>
      </c>
      <c r="I249" s="2133">
        <v>0</v>
      </c>
    </row>
    <row r="250" spans="2:9" ht="15.75" x14ac:dyDescent="0.25">
      <c r="B250" s="2923"/>
      <c r="C250" s="2133" t="s">
        <v>670</v>
      </c>
      <c r="D250" s="2133" t="s">
        <v>671</v>
      </c>
      <c r="E250" s="2134">
        <v>43371</v>
      </c>
      <c r="F250" s="2133">
        <v>9</v>
      </c>
      <c r="G250" s="2133">
        <v>2670</v>
      </c>
      <c r="H250" s="2133">
        <v>6</v>
      </c>
      <c r="I250" s="2133">
        <v>4</v>
      </c>
    </row>
    <row r="251" spans="2:9" ht="15.75" x14ac:dyDescent="0.25">
      <c r="B251" s="2923"/>
      <c r="C251" s="2133" t="s">
        <v>672</v>
      </c>
      <c r="D251" s="2133" t="s">
        <v>457</v>
      </c>
      <c r="E251" s="2134">
        <v>43553</v>
      </c>
      <c r="F251" s="2133">
        <v>32</v>
      </c>
      <c r="G251" s="2133">
        <v>10413</v>
      </c>
      <c r="H251" s="2133">
        <v>50</v>
      </c>
      <c r="I251" s="2133">
        <v>2</v>
      </c>
    </row>
    <row r="252" spans="2:9" ht="15.75" x14ac:dyDescent="0.25">
      <c r="B252" s="2923"/>
      <c r="C252" s="2133" t="s">
        <v>673</v>
      </c>
      <c r="D252" s="2133" t="s">
        <v>414</v>
      </c>
      <c r="E252" s="2134" t="s">
        <v>2708</v>
      </c>
      <c r="F252" s="2133">
        <v>43</v>
      </c>
      <c r="G252" s="2133">
        <v>6441</v>
      </c>
      <c r="H252" s="2133">
        <v>1</v>
      </c>
      <c r="I252" s="2133">
        <v>0</v>
      </c>
    </row>
    <row r="253" spans="2:9" ht="15.75" x14ac:dyDescent="0.25">
      <c r="B253" s="2923"/>
      <c r="C253" s="2133" t="s">
        <v>674</v>
      </c>
      <c r="D253" s="2133" t="s">
        <v>590</v>
      </c>
      <c r="E253" s="2134">
        <v>39965</v>
      </c>
      <c r="F253" s="2133">
        <v>13</v>
      </c>
      <c r="G253" s="2133">
        <v>77345</v>
      </c>
      <c r="H253" s="2133">
        <v>171</v>
      </c>
      <c r="I253" s="2133">
        <v>1288</v>
      </c>
    </row>
    <row r="254" spans="2:9" ht="15.75" x14ac:dyDescent="0.25">
      <c r="B254" s="2924"/>
      <c r="C254" s="2133" t="s">
        <v>675</v>
      </c>
      <c r="D254" s="2133" t="s">
        <v>2351</v>
      </c>
      <c r="E254" s="2134">
        <v>43356</v>
      </c>
      <c r="F254" s="2133">
        <v>19</v>
      </c>
      <c r="G254" s="2133">
        <v>6159</v>
      </c>
      <c r="H254" s="2133">
        <v>40</v>
      </c>
      <c r="I254" s="2133">
        <v>2</v>
      </c>
    </row>
    <row r="255" spans="2:9" ht="15.75" x14ac:dyDescent="0.25">
      <c r="B255" s="2920" t="s">
        <v>676</v>
      </c>
      <c r="C255" s="2920"/>
      <c r="D255" s="2920"/>
      <c r="E255" s="2136"/>
      <c r="F255" s="2135">
        <v>447</v>
      </c>
      <c r="G255" s="2135">
        <v>489954</v>
      </c>
      <c r="H255" s="2135">
        <v>609</v>
      </c>
      <c r="I255" s="2135">
        <v>1891</v>
      </c>
    </row>
    <row r="256" spans="2:9" ht="15.75" x14ac:dyDescent="0.25">
      <c r="B256" s="2922" t="s">
        <v>224</v>
      </c>
      <c r="C256" s="2133" t="s">
        <v>863</v>
      </c>
      <c r="D256" s="2133" t="s">
        <v>411</v>
      </c>
      <c r="E256" s="2134" t="s">
        <v>2709</v>
      </c>
      <c r="F256" s="2133">
        <v>5</v>
      </c>
      <c r="G256" s="2133">
        <v>0</v>
      </c>
      <c r="H256" s="2133">
        <v>0</v>
      </c>
      <c r="I256" s="2133">
        <v>0</v>
      </c>
    </row>
    <row r="257" spans="2:9" ht="15.75" x14ac:dyDescent="0.25">
      <c r="B257" s="2923"/>
      <c r="C257" s="2133" t="s">
        <v>677</v>
      </c>
      <c r="D257" s="2133" t="s">
        <v>678</v>
      </c>
      <c r="E257" s="2134" t="s">
        <v>2710</v>
      </c>
      <c r="F257" s="2133">
        <v>87</v>
      </c>
      <c r="G257" s="2133">
        <v>4828</v>
      </c>
      <c r="H257" s="2133">
        <v>53</v>
      </c>
      <c r="I257" s="2133">
        <v>26</v>
      </c>
    </row>
    <row r="258" spans="2:9" ht="15.75" x14ac:dyDescent="0.25">
      <c r="B258" s="2923"/>
      <c r="C258" s="2133" t="s">
        <v>679</v>
      </c>
      <c r="D258" s="2133" t="s">
        <v>414</v>
      </c>
      <c r="E258" s="2134" t="s">
        <v>2711</v>
      </c>
      <c r="F258" s="2133">
        <v>43</v>
      </c>
      <c r="G258" s="2133">
        <v>39289</v>
      </c>
      <c r="H258" s="2133">
        <v>0</v>
      </c>
      <c r="I258" s="2133">
        <v>4</v>
      </c>
    </row>
    <row r="259" spans="2:9" ht="15.75" x14ac:dyDescent="0.25">
      <c r="B259" s="2923"/>
      <c r="C259" s="2133" t="s">
        <v>864</v>
      </c>
      <c r="D259" s="2133" t="s">
        <v>472</v>
      </c>
      <c r="E259" s="2134" t="s">
        <v>2712</v>
      </c>
      <c r="F259" s="2133">
        <v>23</v>
      </c>
      <c r="G259" s="2133">
        <v>242</v>
      </c>
      <c r="H259" s="2133">
        <v>0</v>
      </c>
      <c r="I259" s="2133">
        <v>0</v>
      </c>
    </row>
    <row r="260" spans="2:9" ht="15.75" x14ac:dyDescent="0.25">
      <c r="B260" s="2923"/>
      <c r="C260" s="2133" t="s">
        <v>680</v>
      </c>
      <c r="D260" s="2133" t="s">
        <v>414</v>
      </c>
      <c r="E260" s="2134" t="s">
        <v>2713</v>
      </c>
      <c r="F260" s="2133">
        <v>18</v>
      </c>
      <c r="G260" s="2133">
        <v>1778</v>
      </c>
      <c r="H260" s="2133">
        <v>0</v>
      </c>
      <c r="I260" s="2133">
        <v>2</v>
      </c>
    </row>
    <row r="261" spans="2:9" ht="15.75" x14ac:dyDescent="0.25">
      <c r="B261" s="2923"/>
      <c r="C261" s="2133" t="s">
        <v>865</v>
      </c>
      <c r="D261" s="2133" t="s">
        <v>411</v>
      </c>
      <c r="E261" s="2134" t="s">
        <v>2714</v>
      </c>
      <c r="F261" s="2133">
        <v>4</v>
      </c>
      <c r="G261" s="2133">
        <v>0</v>
      </c>
      <c r="H261" s="2133">
        <v>0</v>
      </c>
      <c r="I261" s="2133">
        <v>0</v>
      </c>
    </row>
    <row r="262" spans="2:9" ht="15.75" x14ac:dyDescent="0.25">
      <c r="B262" s="2923"/>
      <c r="C262" s="2133" t="s">
        <v>681</v>
      </c>
      <c r="D262" s="2133" t="s">
        <v>664</v>
      </c>
      <c r="E262" s="2134" t="s">
        <v>2715</v>
      </c>
      <c r="F262" s="2133">
        <v>52</v>
      </c>
      <c r="G262" s="2133">
        <v>8925</v>
      </c>
      <c r="H262" s="2133">
        <v>33</v>
      </c>
      <c r="I262" s="2133">
        <v>64</v>
      </c>
    </row>
    <row r="263" spans="2:9" ht="15.75" x14ac:dyDescent="0.25">
      <c r="B263" s="2923"/>
      <c r="C263" s="2133" t="s">
        <v>682</v>
      </c>
      <c r="D263" s="2133" t="s">
        <v>414</v>
      </c>
      <c r="E263" s="2134" t="s">
        <v>2713</v>
      </c>
      <c r="F263" s="2133">
        <v>16</v>
      </c>
      <c r="G263" s="2133">
        <v>2204</v>
      </c>
      <c r="H263" s="2133">
        <v>0</v>
      </c>
      <c r="I263" s="2133">
        <v>1</v>
      </c>
    </row>
    <row r="264" spans="2:9" ht="15.75" x14ac:dyDescent="0.25">
      <c r="B264" s="2923"/>
      <c r="C264" s="2133" t="s">
        <v>683</v>
      </c>
      <c r="D264" s="2133" t="s">
        <v>414</v>
      </c>
      <c r="E264" s="2134" t="s">
        <v>2713</v>
      </c>
      <c r="F264" s="2133">
        <v>28</v>
      </c>
      <c r="G264" s="2133">
        <v>2366</v>
      </c>
      <c r="H264" s="2133">
        <v>1</v>
      </c>
      <c r="I264" s="2133">
        <v>0</v>
      </c>
    </row>
    <row r="265" spans="2:9" ht="15.75" x14ac:dyDescent="0.25">
      <c r="B265" s="2923"/>
      <c r="C265" s="2133" t="s">
        <v>684</v>
      </c>
      <c r="D265" s="2133" t="s">
        <v>464</v>
      </c>
      <c r="E265" s="2134" t="s">
        <v>2674</v>
      </c>
      <c r="F265" s="2133">
        <v>48</v>
      </c>
      <c r="G265" s="2133">
        <v>1576</v>
      </c>
      <c r="H265" s="2133">
        <v>14</v>
      </c>
      <c r="I265" s="2133">
        <v>0</v>
      </c>
    </row>
    <row r="266" spans="2:9" ht="15.75" x14ac:dyDescent="0.25">
      <c r="B266" s="2923"/>
      <c r="C266" s="2133" t="s">
        <v>866</v>
      </c>
      <c r="D266" s="2133" t="s">
        <v>411</v>
      </c>
      <c r="E266" s="2134" t="s">
        <v>2666</v>
      </c>
      <c r="F266" s="2133">
        <v>8</v>
      </c>
      <c r="G266" s="2133">
        <v>0</v>
      </c>
      <c r="H266" s="2133">
        <v>0</v>
      </c>
      <c r="I266" s="2133">
        <v>0</v>
      </c>
    </row>
    <row r="267" spans="2:9" ht="15.75" x14ac:dyDescent="0.25">
      <c r="B267" s="2923"/>
      <c r="C267" s="2133" t="s">
        <v>685</v>
      </c>
      <c r="D267" s="2133" t="s">
        <v>664</v>
      </c>
      <c r="E267" s="2134">
        <v>43369</v>
      </c>
      <c r="F267" s="2133">
        <v>9</v>
      </c>
      <c r="G267" s="2133">
        <v>4875</v>
      </c>
      <c r="H267" s="2133">
        <v>9</v>
      </c>
      <c r="I267" s="2133">
        <v>0</v>
      </c>
    </row>
    <row r="268" spans="2:9" ht="15.75" x14ac:dyDescent="0.25">
      <c r="B268" s="2923"/>
      <c r="C268" s="2133" t="s">
        <v>686</v>
      </c>
      <c r="D268" s="2133" t="s">
        <v>414</v>
      </c>
      <c r="E268" s="2134" t="s">
        <v>2716</v>
      </c>
      <c r="F268" s="2133">
        <v>24</v>
      </c>
      <c r="G268" s="2133">
        <v>5146</v>
      </c>
      <c r="H268" s="2133">
        <v>2</v>
      </c>
      <c r="I268" s="2133">
        <v>1</v>
      </c>
    </row>
    <row r="269" spans="2:9" ht="15.75" x14ac:dyDescent="0.25">
      <c r="B269" s="2923"/>
      <c r="C269" s="2133" t="s">
        <v>687</v>
      </c>
      <c r="D269" s="2133" t="s">
        <v>433</v>
      </c>
      <c r="E269" s="2134">
        <v>44635</v>
      </c>
      <c r="F269" s="2133">
        <v>67</v>
      </c>
      <c r="G269" s="2133">
        <v>51247</v>
      </c>
      <c r="H269" s="2133">
        <v>5</v>
      </c>
      <c r="I269" s="2133">
        <v>0</v>
      </c>
    </row>
    <row r="270" spans="2:9" ht="15.75" x14ac:dyDescent="0.25">
      <c r="B270" s="2923"/>
      <c r="C270" s="2133" t="s">
        <v>688</v>
      </c>
      <c r="D270" s="2133" t="s">
        <v>472</v>
      </c>
      <c r="E270" s="2134" t="s">
        <v>2717</v>
      </c>
      <c r="F270" s="2133">
        <v>36</v>
      </c>
      <c r="G270" s="2133">
        <v>3071</v>
      </c>
      <c r="H270" s="2133">
        <v>12</v>
      </c>
      <c r="I270" s="2133">
        <v>4</v>
      </c>
    </row>
    <row r="271" spans="2:9" ht="15.75" x14ac:dyDescent="0.25">
      <c r="B271" s="2924"/>
      <c r="C271" s="2133" t="s">
        <v>689</v>
      </c>
      <c r="D271" s="2133" t="s">
        <v>411</v>
      </c>
      <c r="E271" s="2134" t="s">
        <v>2718</v>
      </c>
      <c r="F271" s="2133">
        <v>10</v>
      </c>
      <c r="G271" s="2133">
        <v>3</v>
      </c>
      <c r="H271" s="2133">
        <v>4</v>
      </c>
      <c r="I271" s="2133">
        <v>5</v>
      </c>
    </row>
    <row r="272" spans="2:9" ht="15.75" x14ac:dyDescent="0.25">
      <c r="B272" s="2920" t="s">
        <v>690</v>
      </c>
      <c r="C272" s="2920"/>
      <c r="D272" s="2920"/>
      <c r="E272" s="2136"/>
      <c r="F272" s="2135">
        <v>478</v>
      </c>
      <c r="G272" s="2135">
        <v>125550</v>
      </c>
      <c r="H272" s="2135">
        <v>133</v>
      </c>
      <c r="I272" s="2135">
        <v>107</v>
      </c>
    </row>
    <row r="273" spans="2:9" ht="15.75" x14ac:dyDescent="0.25">
      <c r="B273" s="2922" t="s">
        <v>691</v>
      </c>
      <c r="C273" s="2133" t="s">
        <v>692</v>
      </c>
      <c r="D273" s="2133" t="s">
        <v>411</v>
      </c>
      <c r="E273" s="2134">
        <v>43363</v>
      </c>
      <c r="F273" s="2133">
        <v>13</v>
      </c>
      <c r="G273" s="2133">
        <v>2016</v>
      </c>
      <c r="H273" s="2133">
        <v>3</v>
      </c>
      <c r="I273" s="2133">
        <v>0</v>
      </c>
    </row>
    <row r="274" spans="2:9" ht="15.75" x14ac:dyDescent="0.25">
      <c r="B274" s="2923"/>
      <c r="C274" s="2133" t="s">
        <v>693</v>
      </c>
      <c r="D274" s="2133" t="s">
        <v>409</v>
      </c>
      <c r="E274" s="2134">
        <v>40095</v>
      </c>
      <c r="F274" s="2133">
        <v>98</v>
      </c>
      <c r="G274" s="2133">
        <v>241278</v>
      </c>
      <c r="H274" s="2133">
        <v>125</v>
      </c>
      <c r="I274" s="2133">
        <v>97</v>
      </c>
    </row>
    <row r="275" spans="2:9" ht="15.75" x14ac:dyDescent="0.25">
      <c r="B275" s="2923"/>
      <c r="C275" s="2133" t="s">
        <v>694</v>
      </c>
      <c r="D275" s="2133" t="s">
        <v>414</v>
      </c>
      <c r="E275" s="2134" t="s">
        <v>2719</v>
      </c>
      <c r="F275" s="2133">
        <v>9</v>
      </c>
      <c r="G275" s="2133">
        <v>818</v>
      </c>
      <c r="H275" s="2133">
        <v>0</v>
      </c>
      <c r="I275" s="2133">
        <v>0</v>
      </c>
    </row>
    <row r="276" spans="2:9" ht="15.75" x14ac:dyDescent="0.25">
      <c r="B276" s="2923"/>
      <c r="C276" s="2133" t="s">
        <v>695</v>
      </c>
      <c r="D276" s="2133" t="s">
        <v>411</v>
      </c>
      <c r="E276" s="2134">
        <v>43367</v>
      </c>
      <c r="F276" s="2133">
        <v>11</v>
      </c>
      <c r="G276" s="2133">
        <v>4164</v>
      </c>
      <c r="H276" s="2133">
        <v>9</v>
      </c>
      <c r="I276" s="2133">
        <v>3</v>
      </c>
    </row>
    <row r="277" spans="2:9" ht="15.75" x14ac:dyDescent="0.25">
      <c r="B277" s="2923"/>
      <c r="C277" s="2133" t="s">
        <v>696</v>
      </c>
      <c r="D277" s="2133" t="s">
        <v>2351</v>
      </c>
      <c r="E277" s="2134">
        <v>43356</v>
      </c>
      <c r="F277" s="2133">
        <v>21</v>
      </c>
      <c r="G277" s="2133">
        <v>2738</v>
      </c>
      <c r="H277" s="2133">
        <v>12</v>
      </c>
      <c r="I277" s="2133">
        <v>61</v>
      </c>
    </row>
    <row r="278" spans="2:9" ht="15.75" x14ac:dyDescent="0.25">
      <c r="B278" s="2923"/>
      <c r="C278" s="2133" t="s">
        <v>697</v>
      </c>
      <c r="D278" s="2133" t="s">
        <v>411</v>
      </c>
      <c r="E278" s="2134">
        <v>43418</v>
      </c>
      <c r="F278" s="2133">
        <v>29</v>
      </c>
      <c r="G278" s="2133">
        <v>6223</v>
      </c>
      <c r="H278" s="2133">
        <v>11</v>
      </c>
      <c r="I278" s="2133">
        <v>27</v>
      </c>
    </row>
    <row r="279" spans="2:9" ht="15.75" x14ac:dyDescent="0.25">
      <c r="B279" s="2923"/>
      <c r="C279" s="2133" t="s">
        <v>698</v>
      </c>
      <c r="D279" s="2133" t="s">
        <v>411</v>
      </c>
      <c r="E279" s="2134">
        <v>43356</v>
      </c>
      <c r="F279" s="2133">
        <v>23</v>
      </c>
      <c r="G279" s="2133">
        <v>5963</v>
      </c>
      <c r="H279" s="2133">
        <v>33</v>
      </c>
      <c r="I279" s="2133">
        <v>7</v>
      </c>
    </row>
    <row r="280" spans="2:9" ht="15.75" x14ac:dyDescent="0.25">
      <c r="B280" s="2923"/>
      <c r="C280" s="2133" t="s">
        <v>699</v>
      </c>
      <c r="D280" s="2133" t="s">
        <v>564</v>
      </c>
      <c r="E280" s="2134" t="s">
        <v>2720</v>
      </c>
      <c r="F280" s="2133">
        <v>29</v>
      </c>
      <c r="G280" s="2133">
        <v>0</v>
      </c>
      <c r="H280" s="2133">
        <v>0</v>
      </c>
      <c r="I280" s="2133">
        <v>0</v>
      </c>
    </row>
    <row r="281" spans="2:9" ht="15.75" x14ac:dyDescent="0.25">
      <c r="B281" s="2920" t="s">
        <v>700</v>
      </c>
      <c r="C281" s="2920"/>
      <c r="D281" s="2920"/>
      <c r="E281" s="2136"/>
      <c r="F281" s="2135">
        <v>233</v>
      </c>
      <c r="G281" s="2135">
        <v>263200</v>
      </c>
      <c r="H281" s="2135">
        <v>193</v>
      </c>
      <c r="I281" s="2135">
        <v>195</v>
      </c>
    </row>
    <row r="282" spans="2:9" ht="15.75" x14ac:dyDescent="0.25">
      <c r="B282" s="2133" t="s">
        <v>701</v>
      </c>
      <c r="C282" s="2133" t="s">
        <v>702</v>
      </c>
      <c r="D282" s="2133" t="s">
        <v>411</v>
      </c>
      <c r="E282" s="2134">
        <v>44635</v>
      </c>
      <c r="F282" s="2133">
        <v>14</v>
      </c>
      <c r="G282" s="2133">
        <v>142</v>
      </c>
      <c r="H282" s="2133">
        <v>3</v>
      </c>
      <c r="I282" s="2133">
        <v>5</v>
      </c>
    </row>
    <row r="283" spans="2:9" ht="15.75" x14ac:dyDescent="0.25">
      <c r="B283" s="2920" t="s">
        <v>703</v>
      </c>
      <c r="C283" s="2920"/>
      <c r="D283" s="2920"/>
      <c r="E283" s="2136"/>
      <c r="F283" s="2135">
        <v>14</v>
      </c>
      <c r="G283" s="2135">
        <v>142</v>
      </c>
      <c r="H283" s="2135">
        <v>3</v>
      </c>
      <c r="I283" s="2135">
        <v>5</v>
      </c>
    </row>
    <row r="284" spans="2:9" ht="15.75" x14ac:dyDescent="0.25">
      <c r="B284" s="2922" t="s">
        <v>390</v>
      </c>
      <c r="C284" s="2133" t="s">
        <v>704</v>
      </c>
      <c r="D284" s="2133" t="s">
        <v>705</v>
      </c>
      <c r="E284" s="2134">
        <v>42059</v>
      </c>
      <c r="F284" s="2133">
        <v>7</v>
      </c>
      <c r="G284" s="2133">
        <v>49741</v>
      </c>
      <c r="H284" s="2133">
        <v>558</v>
      </c>
      <c r="I284" s="2133">
        <v>48</v>
      </c>
    </row>
    <row r="285" spans="2:9" ht="15.75" x14ac:dyDescent="0.25">
      <c r="B285" s="2923"/>
      <c r="C285" s="2133" t="s">
        <v>2353</v>
      </c>
      <c r="D285" s="2133" t="s">
        <v>2946</v>
      </c>
      <c r="E285" s="2134">
        <v>44635</v>
      </c>
      <c r="F285" s="2133">
        <v>2</v>
      </c>
      <c r="G285" s="2133">
        <v>0</v>
      </c>
      <c r="H285" s="2133">
        <v>0</v>
      </c>
      <c r="I285" s="2133">
        <v>0</v>
      </c>
    </row>
    <row r="286" spans="2:9" ht="15.75" x14ac:dyDescent="0.25">
      <c r="B286" s="2923"/>
      <c r="C286" s="2133" t="s">
        <v>706</v>
      </c>
      <c r="D286" s="2133" t="s">
        <v>705</v>
      </c>
      <c r="E286" s="2134">
        <v>43371</v>
      </c>
      <c r="F286" s="2133">
        <v>10</v>
      </c>
      <c r="G286" s="2133">
        <v>1319</v>
      </c>
      <c r="H286" s="2133">
        <v>0</v>
      </c>
      <c r="I286" s="2133">
        <v>0</v>
      </c>
    </row>
    <row r="287" spans="2:9" ht="15.75" x14ac:dyDescent="0.25">
      <c r="B287" s="2923"/>
      <c r="C287" s="2133" t="s">
        <v>2354</v>
      </c>
      <c r="D287" s="2133" t="s">
        <v>2946</v>
      </c>
      <c r="E287" s="2134">
        <v>44635</v>
      </c>
      <c r="F287" s="2133">
        <v>3</v>
      </c>
      <c r="G287" s="2133">
        <v>0</v>
      </c>
      <c r="H287" s="2133">
        <v>0</v>
      </c>
      <c r="I287" s="2133">
        <v>0</v>
      </c>
    </row>
    <row r="288" spans="2:9" ht="15.75" x14ac:dyDescent="0.25">
      <c r="B288" s="2923"/>
      <c r="C288" s="2133" t="s">
        <v>707</v>
      </c>
      <c r="D288" s="2133" t="s">
        <v>705</v>
      </c>
      <c r="E288" s="2134">
        <v>43371</v>
      </c>
      <c r="F288" s="2133">
        <v>8</v>
      </c>
      <c r="G288" s="2133">
        <v>19780</v>
      </c>
      <c r="H288" s="2133">
        <v>8</v>
      </c>
      <c r="I288" s="2133">
        <v>0</v>
      </c>
    </row>
    <row r="289" spans="2:9" ht="15.75" x14ac:dyDescent="0.25">
      <c r="B289" s="2920" t="s">
        <v>708</v>
      </c>
      <c r="C289" s="2920"/>
      <c r="D289" s="2920"/>
      <c r="E289" s="2136"/>
      <c r="F289" s="2135">
        <v>30</v>
      </c>
      <c r="G289" s="2135">
        <v>70840</v>
      </c>
      <c r="H289" s="2135">
        <v>566</v>
      </c>
      <c r="I289" s="2135">
        <v>48</v>
      </c>
    </row>
    <row r="290" spans="2:9" ht="15.75" x14ac:dyDescent="0.25">
      <c r="B290" s="2133" t="s">
        <v>867</v>
      </c>
      <c r="C290" s="2133" t="s">
        <v>868</v>
      </c>
      <c r="D290" s="2133" t="s">
        <v>414</v>
      </c>
      <c r="E290" s="2134" t="s">
        <v>2695</v>
      </c>
      <c r="F290" s="2133">
        <v>3</v>
      </c>
      <c r="G290" s="2133">
        <v>0</v>
      </c>
      <c r="H290" s="2133">
        <v>0</v>
      </c>
      <c r="I290" s="2133">
        <v>0</v>
      </c>
    </row>
    <row r="291" spans="2:9" ht="15.75" x14ac:dyDescent="0.25">
      <c r="B291" s="2920" t="s">
        <v>869</v>
      </c>
      <c r="C291" s="2920"/>
      <c r="D291" s="2920"/>
      <c r="E291" s="2136"/>
      <c r="F291" s="2135">
        <v>3</v>
      </c>
      <c r="G291" s="2135">
        <v>0</v>
      </c>
      <c r="H291" s="2135">
        <v>0</v>
      </c>
      <c r="I291" s="2135">
        <v>0</v>
      </c>
    </row>
    <row r="292" spans="2:9" ht="15.75" x14ac:dyDescent="0.25">
      <c r="B292" s="2922" t="s">
        <v>709</v>
      </c>
      <c r="C292" s="2133" t="s">
        <v>710</v>
      </c>
      <c r="D292" s="2133" t="s">
        <v>711</v>
      </c>
      <c r="E292" s="2134">
        <v>40129</v>
      </c>
      <c r="F292" s="2133">
        <v>33</v>
      </c>
      <c r="G292" s="2133">
        <v>117415</v>
      </c>
      <c r="H292" s="2133">
        <v>79</v>
      </c>
      <c r="I292" s="2133">
        <v>2</v>
      </c>
    </row>
    <row r="293" spans="2:9" ht="15.75" x14ac:dyDescent="0.25">
      <c r="B293" s="2923"/>
      <c r="C293" s="2133" t="s">
        <v>712</v>
      </c>
      <c r="D293" s="2133" t="s">
        <v>2947</v>
      </c>
      <c r="E293" s="2134">
        <v>41402</v>
      </c>
      <c r="F293" s="2133">
        <v>11</v>
      </c>
      <c r="G293" s="2133">
        <v>24540</v>
      </c>
      <c r="H293" s="2133">
        <v>112</v>
      </c>
      <c r="I293" s="2133">
        <v>14</v>
      </c>
    </row>
    <row r="294" spans="2:9" ht="15.75" x14ac:dyDescent="0.25">
      <c r="B294" s="2923"/>
      <c r="C294" s="2133" t="s">
        <v>713</v>
      </c>
      <c r="D294" s="2133" t="s">
        <v>2947</v>
      </c>
      <c r="E294" s="2134">
        <v>43356</v>
      </c>
      <c r="F294" s="2133">
        <v>21</v>
      </c>
      <c r="G294" s="2133">
        <v>8267</v>
      </c>
      <c r="H294" s="2133">
        <v>11</v>
      </c>
      <c r="I294" s="2133">
        <v>1</v>
      </c>
    </row>
    <row r="295" spans="2:9" ht="15.75" x14ac:dyDescent="0.25">
      <c r="B295" s="2923"/>
      <c r="C295" s="2133" t="s">
        <v>714</v>
      </c>
      <c r="D295" s="2133" t="s">
        <v>433</v>
      </c>
      <c r="E295" s="2134">
        <v>43322</v>
      </c>
      <c r="F295" s="2133">
        <v>40</v>
      </c>
      <c r="G295" s="2133">
        <v>7086</v>
      </c>
      <c r="H295" s="2133">
        <v>12</v>
      </c>
      <c r="I295" s="2133">
        <v>0</v>
      </c>
    </row>
    <row r="296" spans="2:9" ht="15.75" x14ac:dyDescent="0.25">
      <c r="B296" s="2923"/>
      <c r="C296" s="2133" t="s">
        <v>870</v>
      </c>
      <c r="D296" s="2133" t="s">
        <v>411</v>
      </c>
      <c r="E296" s="2134">
        <v>44685</v>
      </c>
      <c r="F296" s="2133">
        <v>12</v>
      </c>
      <c r="G296" s="2133">
        <v>0</v>
      </c>
      <c r="H296" s="2133">
        <v>0</v>
      </c>
      <c r="I296" s="2133">
        <v>1</v>
      </c>
    </row>
    <row r="297" spans="2:9" ht="15.75" x14ac:dyDescent="0.25">
      <c r="B297" s="2923"/>
      <c r="C297" s="2133" t="s">
        <v>715</v>
      </c>
      <c r="D297" s="2133" t="s">
        <v>2351</v>
      </c>
      <c r="E297" s="2134">
        <v>43356</v>
      </c>
      <c r="F297" s="2133">
        <v>43</v>
      </c>
      <c r="G297" s="2133">
        <v>16742</v>
      </c>
      <c r="H297" s="2133">
        <v>39</v>
      </c>
      <c r="I297" s="2133">
        <v>17</v>
      </c>
    </row>
    <row r="298" spans="2:9" ht="15.75" x14ac:dyDescent="0.25">
      <c r="B298" s="2923"/>
      <c r="C298" s="2133" t="s">
        <v>716</v>
      </c>
      <c r="D298" s="2133" t="s">
        <v>2351</v>
      </c>
      <c r="E298" s="2134" t="s">
        <v>2950</v>
      </c>
      <c r="F298" s="2133">
        <v>30</v>
      </c>
      <c r="G298" s="2133">
        <v>14137</v>
      </c>
      <c r="H298" s="2133">
        <v>21</v>
      </c>
      <c r="I298" s="2133">
        <v>4</v>
      </c>
    </row>
    <row r="299" spans="2:9" ht="15.75" x14ac:dyDescent="0.25">
      <c r="B299" s="2923"/>
      <c r="C299" s="2133" t="s">
        <v>717</v>
      </c>
      <c r="D299" s="2133" t="s">
        <v>718</v>
      </c>
      <c r="E299" s="2134">
        <v>43187</v>
      </c>
      <c r="F299" s="2133">
        <v>15</v>
      </c>
      <c r="G299" s="2133">
        <v>5448</v>
      </c>
      <c r="H299" s="2133">
        <v>15</v>
      </c>
      <c r="I299" s="2133">
        <v>56</v>
      </c>
    </row>
    <row r="300" spans="2:9" ht="15.75" x14ac:dyDescent="0.25">
      <c r="B300" s="2923"/>
      <c r="C300" s="2133" t="s">
        <v>719</v>
      </c>
      <c r="D300" s="2133" t="s">
        <v>513</v>
      </c>
      <c r="E300" s="2134">
        <v>44664</v>
      </c>
      <c r="F300" s="2133">
        <v>17</v>
      </c>
      <c r="G300" s="2133">
        <v>38366</v>
      </c>
      <c r="H300" s="2133">
        <v>2</v>
      </c>
      <c r="I300" s="2133">
        <v>0</v>
      </c>
    </row>
    <row r="301" spans="2:9" ht="15.75" x14ac:dyDescent="0.25">
      <c r="B301" s="2923"/>
      <c r="C301" s="2133" t="s">
        <v>720</v>
      </c>
      <c r="D301" s="2133" t="s">
        <v>721</v>
      </c>
      <c r="E301" s="2134">
        <v>39925</v>
      </c>
      <c r="F301" s="2133">
        <v>24</v>
      </c>
      <c r="G301" s="2133">
        <v>59128</v>
      </c>
      <c r="H301" s="2133">
        <v>225</v>
      </c>
      <c r="I301" s="2133">
        <v>35</v>
      </c>
    </row>
    <row r="302" spans="2:9" ht="15.75" x14ac:dyDescent="0.25">
      <c r="B302" s="2923"/>
      <c r="C302" s="2133" t="s">
        <v>722</v>
      </c>
      <c r="D302" s="2133" t="s">
        <v>529</v>
      </c>
      <c r="E302" s="2134">
        <v>43553</v>
      </c>
      <c r="F302" s="2133">
        <v>68</v>
      </c>
      <c r="G302" s="2133">
        <v>16635</v>
      </c>
      <c r="H302" s="2133">
        <v>0</v>
      </c>
      <c r="I302" s="2133">
        <v>0</v>
      </c>
    </row>
    <row r="303" spans="2:9" ht="15.75" x14ac:dyDescent="0.25">
      <c r="B303" s="2923"/>
      <c r="C303" s="2133" t="s">
        <v>723</v>
      </c>
      <c r="D303" s="2133" t="s">
        <v>2351</v>
      </c>
      <c r="E303" s="2134" t="s">
        <v>2951</v>
      </c>
      <c r="F303" s="2133">
        <v>18</v>
      </c>
      <c r="G303" s="2133">
        <v>9021</v>
      </c>
      <c r="H303" s="2133">
        <v>10</v>
      </c>
      <c r="I303" s="2133">
        <v>2</v>
      </c>
    </row>
    <row r="304" spans="2:9" ht="15.75" x14ac:dyDescent="0.25">
      <c r="B304" s="2923"/>
      <c r="C304" s="2133" t="s">
        <v>724</v>
      </c>
      <c r="D304" s="2133" t="s">
        <v>2947</v>
      </c>
      <c r="E304" s="2134">
        <v>43165</v>
      </c>
      <c r="F304" s="2133">
        <v>22</v>
      </c>
      <c r="G304" s="2133">
        <v>16050</v>
      </c>
      <c r="H304" s="2133">
        <v>16</v>
      </c>
      <c r="I304" s="2133">
        <v>70</v>
      </c>
    </row>
    <row r="305" spans="2:9" ht="15.75" x14ac:dyDescent="0.25">
      <c r="B305" s="2923"/>
      <c r="C305" s="2133" t="s">
        <v>725</v>
      </c>
      <c r="D305" s="2133" t="s">
        <v>2947</v>
      </c>
      <c r="E305" s="2134">
        <v>43367</v>
      </c>
      <c r="F305" s="2133">
        <v>32</v>
      </c>
      <c r="G305" s="2133">
        <v>6660</v>
      </c>
      <c r="H305" s="2133">
        <v>3</v>
      </c>
      <c r="I305" s="2133">
        <v>0</v>
      </c>
    </row>
    <row r="306" spans="2:9" ht="15.75" x14ac:dyDescent="0.25">
      <c r="B306" s="2923"/>
      <c r="C306" s="2133" t="s">
        <v>726</v>
      </c>
      <c r="D306" s="2133" t="s">
        <v>711</v>
      </c>
      <c r="E306" s="2134">
        <v>43367</v>
      </c>
      <c r="F306" s="2133">
        <v>10</v>
      </c>
      <c r="G306" s="2133">
        <v>2005</v>
      </c>
      <c r="H306" s="2133">
        <v>0</v>
      </c>
      <c r="I306" s="2133">
        <v>1</v>
      </c>
    </row>
    <row r="307" spans="2:9" ht="15.75" x14ac:dyDescent="0.25">
      <c r="B307" s="2923"/>
      <c r="C307" s="2133" t="s">
        <v>727</v>
      </c>
      <c r="D307" s="2133" t="s">
        <v>529</v>
      </c>
      <c r="E307" s="2134">
        <v>43553</v>
      </c>
      <c r="F307" s="2133">
        <v>63</v>
      </c>
      <c r="G307" s="2133">
        <v>19014</v>
      </c>
      <c r="H307" s="2133">
        <v>0</v>
      </c>
      <c r="I307" s="2133">
        <v>0</v>
      </c>
    </row>
    <row r="308" spans="2:9" ht="15.75" x14ac:dyDescent="0.25">
      <c r="B308" s="2923"/>
      <c r="C308" s="2133" t="s">
        <v>728</v>
      </c>
      <c r="D308" s="2133" t="s">
        <v>513</v>
      </c>
      <c r="E308" s="2134">
        <v>43749</v>
      </c>
      <c r="F308" s="2133">
        <v>79</v>
      </c>
      <c r="G308" s="2133">
        <v>435771</v>
      </c>
      <c r="H308" s="2133">
        <v>647</v>
      </c>
      <c r="I308" s="2133">
        <v>894</v>
      </c>
    </row>
    <row r="309" spans="2:9" ht="15.75" x14ac:dyDescent="0.25">
      <c r="B309" s="2923"/>
      <c r="C309" s="2133" t="s">
        <v>729</v>
      </c>
      <c r="D309" s="2133" t="s">
        <v>2351</v>
      </c>
      <c r="E309" s="2134">
        <v>43553</v>
      </c>
      <c r="F309" s="2133">
        <v>31</v>
      </c>
      <c r="G309" s="2133">
        <v>9704</v>
      </c>
      <c r="H309" s="2133">
        <v>38</v>
      </c>
      <c r="I309" s="2133">
        <v>16</v>
      </c>
    </row>
    <row r="310" spans="2:9" ht="15.75" x14ac:dyDescent="0.25">
      <c r="B310" s="2923"/>
      <c r="C310" s="2133" t="s">
        <v>730</v>
      </c>
      <c r="D310" s="2133" t="s">
        <v>2351</v>
      </c>
      <c r="E310" s="2134" t="s">
        <v>2721</v>
      </c>
      <c r="F310" s="2133">
        <v>34</v>
      </c>
      <c r="G310" s="2133">
        <v>17169</v>
      </c>
      <c r="H310" s="2133">
        <v>76</v>
      </c>
      <c r="I310" s="2133">
        <v>14</v>
      </c>
    </row>
    <row r="311" spans="2:9" ht="15.75" x14ac:dyDescent="0.25">
      <c r="B311" s="2923"/>
      <c r="C311" s="2133" t="s">
        <v>731</v>
      </c>
      <c r="D311" s="2133" t="s">
        <v>2947</v>
      </c>
      <c r="E311" s="2134">
        <v>43579</v>
      </c>
      <c r="F311" s="2133">
        <v>19</v>
      </c>
      <c r="G311" s="2133">
        <v>7327</v>
      </c>
      <c r="H311" s="2133">
        <v>15</v>
      </c>
      <c r="I311" s="2133">
        <v>0</v>
      </c>
    </row>
    <row r="312" spans="2:9" ht="15.75" x14ac:dyDescent="0.25">
      <c r="B312" s="2923"/>
      <c r="C312" s="2133" t="s">
        <v>732</v>
      </c>
      <c r="D312" s="2133" t="s">
        <v>721</v>
      </c>
      <c r="E312" s="2134">
        <v>41696</v>
      </c>
      <c r="F312" s="2133">
        <v>11</v>
      </c>
      <c r="G312" s="2133">
        <v>28828</v>
      </c>
      <c r="H312" s="2133">
        <v>6</v>
      </c>
      <c r="I312" s="2133">
        <v>0</v>
      </c>
    </row>
    <row r="313" spans="2:9" ht="15.75" x14ac:dyDescent="0.25">
      <c r="B313" s="2923"/>
      <c r="C313" s="2133" t="s">
        <v>733</v>
      </c>
      <c r="D313" s="2133" t="s">
        <v>721</v>
      </c>
      <c r="E313" s="2134">
        <v>39925</v>
      </c>
      <c r="F313" s="2133">
        <v>60</v>
      </c>
      <c r="G313" s="2133">
        <v>136394</v>
      </c>
      <c r="H313" s="2133">
        <v>459</v>
      </c>
      <c r="I313" s="2133">
        <v>126</v>
      </c>
    </row>
    <row r="314" spans="2:9" ht="15.75" x14ac:dyDescent="0.25">
      <c r="B314" s="2923"/>
      <c r="C314" s="2133" t="s">
        <v>734</v>
      </c>
      <c r="D314" s="2133" t="s">
        <v>513</v>
      </c>
      <c r="E314" s="2134">
        <v>43553</v>
      </c>
      <c r="F314" s="2133">
        <v>30</v>
      </c>
      <c r="G314" s="2133">
        <v>59893</v>
      </c>
      <c r="H314" s="2133">
        <v>26</v>
      </c>
      <c r="I314" s="2133">
        <v>7</v>
      </c>
    </row>
    <row r="315" spans="2:9" ht="15.75" x14ac:dyDescent="0.25">
      <c r="B315" s="2923"/>
      <c r="C315" s="2133" t="s">
        <v>871</v>
      </c>
      <c r="D315" s="2133" t="s">
        <v>411</v>
      </c>
      <c r="E315" s="2134">
        <v>44685</v>
      </c>
      <c r="F315" s="2133">
        <v>5</v>
      </c>
      <c r="G315" s="2133">
        <v>0</v>
      </c>
      <c r="H315" s="2133">
        <v>0</v>
      </c>
      <c r="I315" s="2133">
        <v>0</v>
      </c>
    </row>
    <row r="316" spans="2:9" ht="15.75" x14ac:dyDescent="0.25">
      <c r="B316" s="2923"/>
      <c r="C316" s="2133" t="s">
        <v>735</v>
      </c>
      <c r="D316" s="2133" t="s">
        <v>472</v>
      </c>
      <c r="E316" s="2134">
        <v>41247</v>
      </c>
      <c r="F316" s="2133">
        <v>10</v>
      </c>
      <c r="G316" s="2133">
        <v>14705</v>
      </c>
      <c r="H316" s="2133">
        <v>32</v>
      </c>
      <c r="I316" s="2133">
        <v>248</v>
      </c>
    </row>
    <row r="317" spans="2:9" ht="15.75" x14ac:dyDescent="0.25">
      <c r="B317" s="2923"/>
      <c r="C317" s="2133" t="s">
        <v>736</v>
      </c>
      <c r="D317" s="2133" t="s">
        <v>433</v>
      </c>
      <c r="E317" s="2134">
        <v>44720</v>
      </c>
      <c r="F317" s="2133">
        <v>126</v>
      </c>
      <c r="G317" s="2133">
        <v>100034</v>
      </c>
      <c r="H317" s="2133">
        <v>0</v>
      </c>
      <c r="I317" s="2133">
        <v>0</v>
      </c>
    </row>
    <row r="318" spans="2:9" ht="15.75" x14ac:dyDescent="0.25">
      <c r="B318" s="2923"/>
      <c r="C318" s="2133" t="s">
        <v>737</v>
      </c>
      <c r="D318" s="2133" t="s">
        <v>711</v>
      </c>
      <c r="E318" s="2134">
        <v>42444</v>
      </c>
      <c r="F318" s="2133">
        <v>48</v>
      </c>
      <c r="G318" s="2133">
        <v>131923</v>
      </c>
      <c r="H318" s="2133">
        <v>75</v>
      </c>
      <c r="I318" s="2133">
        <v>13</v>
      </c>
    </row>
    <row r="319" spans="2:9" ht="15.75" x14ac:dyDescent="0.25">
      <c r="B319" s="2923"/>
      <c r="C319" s="2133" t="s">
        <v>738</v>
      </c>
      <c r="D319" s="2133" t="s">
        <v>529</v>
      </c>
      <c r="E319" s="2134">
        <v>43553</v>
      </c>
      <c r="F319" s="2133">
        <v>38</v>
      </c>
      <c r="G319" s="2133">
        <v>17480</v>
      </c>
      <c r="H319" s="2133">
        <v>1</v>
      </c>
      <c r="I319" s="2133">
        <v>0</v>
      </c>
    </row>
    <row r="320" spans="2:9" ht="15.75" x14ac:dyDescent="0.25">
      <c r="B320" s="2923"/>
      <c r="C320" s="2133" t="s">
        <v>739</v>
      </c>
      <c r="D320" s="2133" t="s">
        <v>2351</v>
      </c>
      <c r="E320" s="2134">
        <v>39975</v>
      </c>
      <c r="F320" s="2133">
        <v>13</v>
      </c>
      <c r="G320" s="2133">
        <v>25473</v>
      </c>
      <c r="H320" s="2133">
        <v>51</v>
      </c>
      <c r="I320" s="2133">
        <v>99</v>
      </c>
    </row>
    <row r="321" spans="2:9" ht="15.75" x14ac:dyDescent="0.25">
      <c r="B321" s="2923"/>
      <c r="C321" s="2133" t="s">
        <v>740</v>
      </c>
      <c r="D321" s="2133" t="s">
        <v>527</v>
      </c>
      <c r="E321" s="2134">
        <v>39976</v>
      </c>
      <c r="F321" s="2133">
        <v>25</v>
      </c>
      <c r="G321" s="2133">
        <v>79551</v>
      </c>
      <c r="H321" s="2133">
        <v>101</v>
      </c>
      <c r="I321" s="2133">
        <v>102</v>
      </c>
    </row>
    <row r="322" spans="2:9" ht="15.75" x14ac:dyDescent="0.25">
      <c r="B322" s="2923"/>
      <c r="C322" s="2133" t="s">
        <v>741</v>
      </c>
      <c r="D322" s="2133" t="s">
        <v>513</v>
      </c>
      <c r="E322" s="2134">
        <v>43356</v>
      </c>
      <c r="F322" s="2133">
        <v>43</v>
      </c>
      <c r="G322" s="2133">
        <v>75702</v>
      </c>
      <c r="H322" s="2133">
        <v>75</v>
      </c>
      <c r="I322" s="2133">
        <v>59</v>
      </c>
    </row>
    <row r="323" spans="2:9" ht="15.75" x14ac:dyDescent="0.25">
      <c r="B323" s="2923"/>
      <c r="C323" s="2133" t="s">
        <v>742</v>
      </c>
      <c r="D323" s="2133" t="s">
        <v>527</v>
      </c>
      <c r="E323" s="2134">
        <v>43553</v>
      </c>
      <c r="F323" s="2133">
        <v>32</v>
      </c>
      <c r="G323" s="2133">
        <v>12405</v>
      </c>
      <c r="H323" s="2133">
        <v>4</v>
      </c>
      <c r="I323" s="2133">
        <v>3</v>
      </c>
    </row>
    <row r="324" spans="2:9" ht="15.75" x14ac:dyDescent="0.25">
      <c r="B324" s="2923"/>
      <c r="C324" s="2133" t="s">
        <v>743</v>
      </c>
      <c r="D324" s="2133" t="s">
        <v>2351</v>
      </c>
      <c r="E324" s="2134">
        <v>41243</v>
      </c>
      <c r="F324" s="2133">
        <v>8</v>
      </c>
      <c r="G324" s="2133">
        <v>40813</v>
      </c>
      <c r="H324" s="2133">
        <v>92</v>
      </c>
      <c r="I324" s="2133">
        <v>200</v>
      </c>
    </row>
    <row r="325" spans="2:9" ht="15.75" x14ac:dyDescent="0.25">
      <c r="B325" s="2923"/>
      <c r="C325" s="2133" t="s">
        <v>744</v>
      </c>
      <c r="D325" s="2133" t="s">
        <v>2351</v>
      </c>
      <c r="E325" s="2134">
        <v>43356</v>
      </c>
      <c r="F325" s="2133">
        <v>21</v>
      </c>
      <c r="G325" s="2133">
        <v>13341</v>
      </c>
      <c r="H325" s="2133">
        <v>24</v>
      </c>
      <c r="I325" s="2133">
        <v>16</v>
      </c>
    </row>
    <row r="326" spans="2:9" ht="15.75" x14ac:dyDescent="0.25">
      <c r="B326" s="2923"/>
      <c r="C326" s="2133" t="s">
        <v>745</v>
      </c>
      <c r="D326" s="2133" t="s">
        <v>513</v>
      </c>
      <c r="E326" s="2134">
        <v>45041</v>
      </c>
      <c r="F326" s="2133">
        <v>72</v>
      </c>
      <c r="G326" s="2133">
        <v>458199</v>
      </c>
      <c r="H326" s="2133">
        <v>1596</v>
      </c>
      <c r="I326" s="2133">
        <v>2208</v>
      </c>
    </row>
    <row r="327" spans="2:9" ht="15.75" x14ac:dyDescent="0.25">
      <c r="B327" s="2923"/>
      <c r="C327" s="2133" t="s">
        <v>746</v>
      </c>
      <c r="D327" s="2133" t="s">
        <v>433</v>
      </c>
      <c r="E327" s="2134">
        <v>42501</v>
      </c>
      <c r="F327" s="2133">
        <v>18</v>
      </c>
      <c r="G327" s="2133">
        <v>29884</v>
      </c>
      <c r="H327" s="2133">
        <v>65</v>
      </c>
      <c r="I327" s="2133">
        <v>9</v>
      </c>
    </row>
    <row r="328" spans="2:9" ht="15.75" x14ac:dyDescent="0.25">
      <c r="B328" s="2923"/>
      <c r="C328" s="2133" t="s">
        <v>747</v>
      </c>
      <c r="D328" s="2133" t="s">
        <v>529</v>
      </c>
      <c r="E328" s="2134">
        <v>43553</v>
      </c>
      <c r="F328" s="2133">
        <v>46</v>
      </c>
      <c r="G328" s="2133">
        <v>19972</v>
      </c>
      <c r="H328" s="2133">
        <v>4</v>
      </c>
      <c r="I328" s="2133">
        <v>1</v>
      </c>
    </row>
    <row r="329" spans="2:9" ht="15.75" x14ac:dyDescent="0.25">
      <c r="B329" s="2923"/>
      <c r="C329" s="2133" t="s">
        <v>748</v>
      </c>
      <c r="D329" s="2133" t="s">
        <v>711</v>
      </c>
      <c r="E329" s="2134">
        <v>43367</v>
      </c>
      <c r="F329" s="2133">
        <v>4</v>
      </c>
      <c r="G329" s="2133">
        <v>745</v>
      </c>
      <c r="H329" s="2133">
        <v>0</v>
      </c>
      <c r="I329" s="2133">
        <v>0</v>
      </c>
    </row>
    <row r="330" spans="2:9" ht="15.75" x14ac:dyDescent="0.25">
      <c r="B330" s="2924"/>
      <c r="C330" s="2133" t="s">
        <v>749</v>
      </c>
      <c r="D330" s="2133" t="s">
        <v>440</v>
      </c>
      <c r="E330" s="2134">
        <v>43166</v>
      </c>
      <c r="F330" s="2133">
        <v>43</v>
      </c>
      <c r="G330" s="2133">
        <v>123621</v>
      </c>
      <c r="H330" s="2133">
        <v>142</v>
      </c>
      <c r="I330" s="2133">
        <v>31</v>
      </c>
    </row>
    <row r="331" spans="2:9" ht="15.75" x14ac:dyDescent="0.25">
      <c r="B331" s="2920" t="s">
        <v>750</v>
      </c>
      <c r="C331" s="2920"/>
      <c r="D331" s="2920"/>
      <c r="E331" s="2136"/>
      <c r="F331" s="2135">
        <v>1275</v>
      </c>
      <c r="G331" s="2135">
        <v>2199448</v>
      </c>
      <c r="H331" s="2135">
        <v>4074</v>
      </c>
      <c r="I331" s="2135">
        <v>4249</v>
      </c>
    </row>
    <row r="332" spans="2:9" ht="15.75" x14ac:dyDescent="0.25">
      <c r="B332" s="2133" t="s">
        <v>751</v>
      </c>
      <c r="C332" s="2133" t="s">
        <v>752</v>
      </c>
      <c r="D332" s="2133" t="s">
        <v>527</v>
      </c>
      <c r="E332" s="2134">
        <v>40812</v>
      </c>
      <c r="F332" s="2133">
        <v>54</v>
      </c>
      <c r="G332" s="2133">
        <v>30583</v>
      </c>
      <c r="H332" s="2133">
        <v>108</v>
      </c>
      <c r="I332" s="2133">
        <v>351</v>
      </c>
    </row>
    <row r="333" spans="2:9" ht="15.75" x14ac:dyDescent="0.25">
      <c r="B333" s="2920" t="s">
        <v>753</v>
      </c>
      <c r="C333" s="2920"/>
      <c r="D333" s="2920"/>
      <c r="E333" s="2136"/>
      <c r="F333" s="2135">
        <v>54</v>
      </c>
      <c r="G333" s="2135">
        <v>30583</v>
      </c>
      <c r="H333" s="2135">
        <v>108</v>
      </c>
      <c r="I333" s="2135">
        <v>351</v>
      </c>
    </row>
    <row r="334" spans="2:9" ht="15.75" x14ac:dyDescent="0.25">
      <c r="B334" s="2133" t="s">
        <v>754</v>
      </c>
      <c r="C334" s="2133" t="s">
        <v>755</v>
      </c>
      <c r="D334" s="2133" t="s">
        <v>529</v>
      </c>
      <c r="E334" s="2134">
        <v>43553</v>
      </c>
      <c r="F334" s="2133">
        <v>40</v>
      </c>
      <c r="G334" s="2133">
        <v>18515</v>
      </c>
      <c r="H334" s="2133">
        <v>2</v>
      </c>
      <c r="I334" s="2133">
        <v>0</v>
      </c>
    </row>
    <row r="335" spans="2:9" ht="15.75" x14ac:dyDescent="0.25">
      <c r="B335" s="2920" t="s">
        <v>756</v>
      </c>
      <c r="C335" s="2920"/>
      <c r="D335" s="2920"/>
      <c r="E335" s="2136"/>
      <c r="F335" s="2135">
        <v>40</v>
      </c>
      <c r="G335" s="2135">
        <v>18515</v>
      </c>
      <c r="H335" s="2135">
        <v>2</v>
      </c>
      <c r="I335" s="2135">
        <v>0</v>
      </c>
    </row>
    <row r="336" spans="2:9" ht="15.75" x14ac:dyDescent="0.25">
      <c r="B336" s="2922" t="s">
        <v>757</v>
      </c>
      <c r="C336" s="2133" t="s">
        <v>758</v>
      </c>
      <c r="D336" s="2133" t="s">
        <v>527</v>
      </c>
      <c r="E336" s="2134" t="s">
        <v>2722</v>
      </c>
      <c r="F336" s="2133">
        <v>15</v>
      </c>
      <c r="G336" s="2133">
        <v>37903</v>
      </c>
      <c r="H336" s="2133">
        <v>3</v>
      </c>
      <c r="I336" s="2133">
        <v>1</v>
      </c>
    </row>
    <row r="337" spans="2:9" ht="15.75" x14ac:dyDescent="0.25">
      <c r="B337" s="2923"/>
      <c r="C337" s="2133" t="s">
        <v>759</v>
      </c>
      <c r="D337" s="2133" t="s">
        <v>760</v>
      </c>
      <c r="E337" s="2134">
        <v>42212</v>
      </c>
      <c r="F337" s="2133">
        <v>12</v>
      </c>
      <c r="G337" s="2133">
        <v>27127</v>
      </c>
      <c r="H337" s="2133">
        <v>64</v>
      </c>
      <c r="I337" s="2133">
        <v>42</v>
      </c>
    </row>
    <row r="338" spans="2:9" ht="15.75" x14ac:dyDescent="0.25">
      <c r="B338" s="2923"/>
      <c r="C338" s="2133" t="s">
        <v>761</v>
      </c>
      <c r="D338" s="2133" t="s">
        <v>762</v>
      </c>
      <c r="E338" s="2134">
        <v>44708</v>
      </c>
      <c r="F338" s="2133">
        <v>3</v>
      </c>
      <c r="G338" s="2133">
        <v>1</v>
      </c>
      <c r="H338" s="2133">
        <v>0</v>
      </c>
      <c r="I338" s="2133">
        <v>0</v>
      </c>
    </row>
    <row r="339" spans="2:9" ht="15.75" x14ac:dyDescent="0.25">
      <c r="B339" s="2923"/>
      <c r="C339" s="2133" t="s">
        <v>872</v>
      </c>
      <c r="D339" s="2133" t="s">
        <v>762</v>
      </c>
      <c r="E339" s="2134">
        <v>44692</v>
      </c>
      <c r="F339" s="2133">
        <v>1</v>
      </c>
      <c r="G339" s="2133">
        <v>0</v>
      </c>
      <c r="H339" s="2133">
        <v>0</v>
      </c>
      <c r="I339" s="2133">
        <v>0</v>
      </c>
    </row>
    <row r="340" spans="2:9" ht="15.75" x14ac:dyDescent="0.25">
      <c r="B340" s="2923"/>
      <c r="C340" s="2133" t="s">
        <v>763</v>
      </c>
      <c r="D340" s="2133" t="s">
        <v>2947</v>
      </c>
      <c r="E340" s="2134">
        <v>42213</v>
      </c>
      <c r="F340" s="2133">
        <v>14</v>
      </c>
      <c r="G340" s="2133">
        <v>17960</v>
      </c>
      <c r="H340" s="2133">
        <v>77</v>
      </c>
      <c r="I340" s="2133">
        <v>111</v>
      </c>
    </row>
    <row r="341" spans="2:9" ht="15.75" x14ac:dyDescent="0.25">
      <c r="B341" s="2920" t="s">
        <v>764</v>
      </c>
      <c r="C341" s="2920"/>
      <c r="D341" s="2920"/>
      <c r="E341" s="2136"/>
      <c r="F341" s="2135">
        <v>45</v>
      </c>
      <c r="G341" s="2135">
        <v>82991</v>
      </c>
      <c r="H341" s="2135">
        <v>144</v>
      </c>
      <c r="I341" s="2135">
        <v>154</v>
      </c>
    </row>
    <row r="342" spans="2:9" ht="15.75" x14ac:dyDescent="0.25">
      <c r="B342" s="2922" t="s">
        <v>225</v>
      </c>
      <c r="C342" s="2133" t="s">
        <v>765</v>
      </c>
      <c r="D342" s="2133" t="s">
        <v>433</v>
      </c>
      <c r="E342" s="2134" t="s">
        <v>2723</v>
      </c>
      <c r="F342" s="2133">
        <v>17</v>
      </c>
      <c r="G342" s="2133">
        <v>34934</v>
      </c>
      <c r="H342" s="2133">
        <v>0</v>
      </c>
      <c r="I342" s="2133">
        <v>0</v>
      </c>
    </row>
    <row r="343" spans="2:9" ht="15.75" x14ac:dyDescent="0.25">
      <c r="B343" s="2923"/>
      <c r="C343" s="2133" t="s">
        <v>766</v>
      </c>
      <c r="D343" s="2133" t="s">
        <v>529</v>
      </c>
      <c r="E343" s="2134">
        <v>44729</v>
      </c>
      <c r="F343" s="2133">
        <v>21</v>
      </c>
      <c r="G343" s="2133">
        <v>7310</v>
      </c>
      <c r="H343" s="2133">
        <v>0</v>
      </c>
      <c r="I343" s="2133">
        <v>0</v>
      </c>
    </row>
    <row r="344" spans="2:9" ht="15.75" x14ac:dyDescent="0.25">
      <c r="B344" s="2923"/>
      <c r="C344" s="2133" t="s">
        <v>767</v>
      </c>
      <c r="D344" s="2133" t="s">
        <v>2947</v>
      </c>
      <c r="E344" s="2134" t="s">
        <v>2680</v>
      </c>
      <c r="F344" s="2133">
        <v>26</v>
      </c>
      <c r="G344" s="2133">
        <v>13240</v>
      </c>
      <c r="H344" s="2133">
        <v>32</v>
      </c>
      <c r="I344" s="2133">
        <v>6</v>
      </c>
    </row>
    <row r="345" spans="2:9" ht="15.75" x14ac:dyDescent="0.25">
      <c r="B345" s="2923"/>
      <c r="C345" s="2133" t="s">
        <v>768</v>
      </c>
      <c r="D345" s="2133" t="s">
        <v>529</v>
      </c>
      <c r="E345" s="2134" t="s">
        <v>2724</v>
      </c>
      <c r="F345" s="2133">
        <v>22</v>
      </c>
      <c r="G345" s="2133">
        <v>13062</v>
      </c>
      <c r="H345" s="2133">
        <v>0</v>
      </c>
      <c r="I345" s="2133">
        <v>0</v>
      </c>
    </row>
    <row r="346" spans="2:9" ht="15.75" x14ac:dyDescent="0.25">
      <c r="B346" s="2923"/>
      <c r="C346" s="2133" t="s">
        <v>873</v>
      </c>
      <c r="D346" s="2133" t="s">
        <v>414</v>
      </c>
      <c r="E346" s="2134" t="s">
        <v>2666</v>
      </c>
      <c r="F346" s="2133">
        <v>8</v>
      </c>
      <c r="G346" s="2133">
        <v>0</v>
      </c>
      <c r="H346" s="2133">
        <v>0</v>
      </c>
      <c r="I346" s="2133">
        <v>0</v>
      </c>
    </row>
    <row r="347" spans="2:9" ht="15.75" x14ac:dyDescent="0.25">
      <c r="B347" s="2923"/>
      <c r="C347" s="2133" t="s">
        <v>769</v>
      </c>
      <c r="D347" s="2133" t="s">
        <v>529</v>
      </c>
      <c r="E347" s="2134" t="s">
        <v>2725</v>
      </c>
      <c r="F347" s="2133">
        <v>34</v>
      </c>
      <c r="G347" s="2133">
        <v>8889</v>
      </c>
      <c r="H347" s="2133">
        <v>1</v>
      </c>
      <c r="I347" s="2133">
        <v>1</v>
      </c>
    </row>
    <row r="348" spans="2:9" ht="15.75" x14ac:dyDescent="0.25">
      <c r="B348" s="2923"/>
      <c r="C348" s="2133" t="s">
        <v>2438</v>
      </c>
      <c r="D348" s="2133" t="s">
        <v>770</v>
      </c>
      <c r="E348" s="2134" t="s">
        <v>2726</v>
      </c>
      <c r="F348" s="2133">
        <v>30</v>
      </c>
      <c r="G348" s="2133">
        <v>6725</v>
      </c>
      <c r="H348" s="2133">
        <v>0</v>
      </c>
      <c r="I348" s="2133">
        <v>0</v>
      </c>
    </row>
    <row r="349" spans="2:9" ht="15.75" x14ac:dyDescent="0.25">
      <c r="B349" s="2923"/>
      <c r="C349" s="2133" t="s">
        <v>771</v>
      </c>
      <c r="D349" s="2133" t="s">
        <v>529</v>
      </c>
      <c r="E349" s="2134" t="s">
        <v>2725</v>
      </c>
      <c r="F349" s="2133">
        <v>34</v>
      </c>
      <c r="G349" s="2133">
        <v>16354</v>
      </c>
      <c r="H349" s="2133">
        <v>1</v>
      </c>
      <c r="I349" s="2133">
        <v>1</v>
      </c>
    </row>
    <row r="350" spans="2:9" ht="15.75" x14ac:dyDescent="0.25">
      <c r="B350" s="2923"/>
      <c r="C350" s="2133" t="s">
        <v>772</v>
      </c>
      <c r="D350" s="2133" t="s">
        <v>433</v>
      </c>
      <c r="E350" s="2134">
        <v>44635</v>
      </c>
      <c r="F350" s="2133">
        <v>30</v>
      </c>
      <c r="G350" s="2133">
        <v>50958</v>
      </c>
      <c r="H350" s="2133">
        <v>0</v>
      </c>
      <c r="I350" s="2133">
        <v>0</v>
      </c>
    </row>
    <row r="351" spans="2:9" ht="15.75" x14ac:dyDescent="0.25">
      <c r="B351" s="2924"/>
      <c r="C351" s="2133" t="s">
        <v>773</v>
      </c>
      <c r="D351" s="2133" t="s">
        <v>529</v>
      </c>
      <c r="E351" s="2134" t="s">
        <v>2727</v>
      </c>
      <c r="F351" s="2133">
        <v>20</v>
      </c>
      <c r="G351" s="2133">
        <v>856</v>
      </c>
      <c r="H351" s="2133">
        <v>1</v>
      </c>
      <c r="I351" s="2133">
        <v>2</v>
      </c>
    </row>
    <row r="352" spans="2:9" ht="15.75" x14ac:dyDescent="0.25">
      <c r="B352" s="2920" t="s">
        <v>774</v>
      </c>
      <c r="C352" s="2920"/>
      <c r="D352" s="2920"/>
      <c r="E352" s="2136"/>
      <c r="F352" s="2135">
        <v>242</v>
      </c>
      <c r="G352" s="2135">
        <v>152328</v>
      </c>
      <c r="H352" s="2135">
        <v>35</v>
      </c>
      <c r="I352" s="2135">
        <v>10</v>
      </c>
    </row>
    <row r="353" spans="2:9" x14ac:dyDescent="0.25">
      <c r="B353" s="2925" t="s">
        <v>334</v>
      </c>
      <c r="C353" s="2925"/>
      <c r="D353" s="2925"/>
      <c r="E353" s="2138"/>
      <c r="F353" s="2139">
        <v>8916</v>
      </c>
      <c r="G353" s="2139">
        <v>16949377</v>
      </c>
      <c r="H353" s="2139">
        <v>49994</v>
      </c>
      <c r="I353" s="2139">
        <v>21831</v>
      </c>
    </row>
    <row r="354" spans="2:9" x14ac:dyDescent="0.25">
      <c r="B354" s="2926" t="s">
        <v>2439</v>
      </c>
      <c r="C354" s="2926"/>
      <c r="D354" s="2926"/>
      <c r="E354" s="2926"/>
      <c r="F354" s="2926"/>
      <c r="G354" s="2926"/>
      <c r="H354" s="2926"/>
      <c r="I354" s="2926"/>
    </row>
    <row r="355" spans="2:9" ht="30" customHeight="1" x14ac:dyDescent="0.25">
      <c r="B355" s="2927" t="s">
        <v>2440</v>
      </c>
      <c r="C355" s="2928"/>
      <c r="D355" s="2928"/>
      <c r="E355" s="2928"/>
      <c r="F355" s="2928"/>
      <c r="G355" s="2928"/>
      <c r="H355" s="2928"/>
      <c r="I355" s="2929"/>
    </row>
  </sheetData>
  <mergeCells count="75">
    <mergeCell ref="B353:D353"/>
    <mergeCell ref="B354:I354"/>
    <mergeCell ref="B355:I355"/>
    <mergeCell ref="B333:D333"/>
    <mergeCell ref="B335:D335"/>
    <mergeCell ref="B336:B340"/>
    <mergeCell ref="B341:D341"/>
    <mergeCell ref="B342:B351"/>
    <mergeCell ref="B352:D352"/>
    <mergeCell ref="B331:D331"/>
    <mergeCell ref="B242:B254"/>
    <mergeCell ref="B255:D255"/>
    <mergeCell ref="B256:B271"/>
    <mergeCell ref="B272:D272"/>
    <mergeCell ref="B273:B280"/>
    <mergeCell ref="B281:D281"/>
    <mergeCell ref="B283:D283"/>
    <mergeCell ref="B284:B288"/>
    <mergeCell ref="B289:D289"/>
    <mergeCell ref="B291:D291"/>
    <mergeCell ref="B292:B330"/>
    <mergeCell ref="B241:D241"/>
    <mergeCell ref="B201:D201"/>
    <mergeCell ref="B203:D203"/>
    <mergeCell ref="B205:D205"/>
    <mergeCell ref="B207:D207"/>
    <mergeCell ref="B208:B219"/>
    <mergeCell ref="B220:D220"/>
    <mergeCell ref="B221:B222"/>
    <mergeCell ref="B223:D223"/>
    <mergeCell ref="B225:D225"/>
    <mergeCell ref="B226:B238"/>
    <mergeCell ref="B239:D239"/>
    <mergeCell ref="B199:D199"/>
    <mergeCell ref="B141:D141"/>
    <mergeCell ref="B142:B147"/>
    <mergeCell ref="B148:D148"/>
    <mergeCell ref="B150:D150"/>
    <mergeCell ref="B151:B170"/>
    <mergeCell ref="B171:D171"/>
    <mergeCell ref="B173:D173"/>
    <mergeCell ref="B174:B175"/>
    <mergeCell ref="B176:D176"/>
    <mergeCell ref="B178:D178"/>
    <mergeCell ref="B179:B198"/>
    <mergeCell ref="B125:B140"/>
    <mergeCell ref="B57:D57"/>
    <mergeCell ref="B58:B89"/>
    <mergeCell ref="B90:D90"/>
    <mergeCell ref="B91:B106"/>
    <mergeCell ref="B107:D107"/>
    <mergeCell ref="B109:D109"/>
    <mergeCell ref="B111:D111"/>
    <mergeCell ref="B112:B114"/>
    <mergeCell ref="B115:D115"/>
    <mergeCell ref="B116:B123"/>
    <mergeCell ref="B124:D124"/>
    <mergeCell ref="B55:B56"/>
    <mergeCell ref="B23:B32"/>
    <mergeCell ref="B33:D33"/>
    <mergeCell ref="B34:B36"/>
    <mergeCell ref="B37:D37"/>
    <mergeCell ref="B39:D39"/>
    <mergeCell ref="B41:D41"/>
    <mergeCell ref="B42:B47"/>
    <mergeCell ref="B48:D48"/>
    <mergeCell ref="B50:D50"/>
    <mergeCell ref="B52:D52"/>
    <mergeCell ref="B54:D54"/>
    <mergeCell ref="B22:D22"/>
    <mergeCell ref="B1:I1"/>
    <mergeCell ref="B3:B11"/>
    <mergeCell ref="B12:D12"/>
    <mergeCell ref="B14:D14"/>
    <mergeCell ref="B15:B21"/>
  </mergeCells>
  <pageMargins left="0.46" right="0.56000000000000005" top="0.49" bottom="0.34" header="0.31496062992125984" footer="0.31496062992125984"/>
  <pageSetup paperSize="9" scale="70" orientation="landscape"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E78B98-6607-421F-8F9F-5B2F4B055357}">
  <sheetPr>
    <tabColor theme="0"/>
  </sheetPr>
  <dimension ref="B1:K64"/>
  <sheetViews>
    <sheetView view="pageBreakPreview" topLeftCell="A45" zoomScale="80" zoomScaleNormal="80" zoomScaleSheetLayoutView="80" zoomScalePageLayoutView="110" workbookViewId="0">
      <selection activeCell="B81" sqref="B81"/>
    </sheetView>
  </sheetViews>
  <sheetFormatPr defaultRowHeight="15" x14ac:dyDescent="0.25"/>
  <cols>
    <col min="1" max="1" width="3.5703125" style="218" customWidth="1"/>
    <col min="2" max="2" width="18.28515625" style="218" customWidth="1"/>
    <col min="3" max="3" width="54" style="218" customWidth="1"/>
    <col min="4" max="4" width="12.28515625" style="218" customWidth="1"/>
    <col min="5" max="5" width="13" style="218" hidden="1" customWidth="1"/>
    <col min="6" max="6" width="8.5703125" style="218" customWidth="1"/>
    <col min="7" max="7" width="8.28515625" style="218" customWidth="1"/>
    <col min="8" max="8" width="7.85546875" style="218" customWidth="1"/>
    <col min="9" max="9" width="6.28515625" style="218" customWidth="1"/>
    <col min="10" max="10" width="7.5703125" style="218" customWidth="1"/>
    <col min="11" max="11" width="8.5703125" style="218" customWidth="1"/>
    <col min="12" max="16384" width="9.140625" style="218"/>
  </cols>
  <sheetData>
    <row r="1" spans="2:11" ht="15.75" thickBot="1" x14ac:dyDescent="0.3"/>
    <row r="2" spans="2:11" ht="24" thickBot="1" x14ac:dyDescent="0.3">
      <c r="B2" s="2930" t="s">
        <v>775</v>
      </c>
      <c r="C2" s="2931"/>
      <c r="D2" s="2931"/>
      <c r="E2" s="2931"/>
      <c r="F2" s="2931"/>
      <c r="G2" s="2931"/>
      <c r="H2" s="2931"/>
      <c r="I2" s="2931"/>
      <c r="J2" s="2931"/>
      <c r="K2" s="2932"/>
    </row>
    <row r="3" spans="2:11" ht="19.5" thickBot="1" x14ac:dyDescent="0.3">
      <c r="B3" s="2933" t="s">
        <v>776</v>
      </c>
      <c r="C3" s="2934"/>
      <c r="D3" s="2934"/>
      <c r="E3" s="2934"/>
      <c r="F3" s="2934"/>
      <c r="G3" s="2934"/>
      <c r="H3" s="2934"/>
      <c r="I3" s="2934"/>
      <c r="J3" s="2934"/>
      <c r="K3" s="2935"/>
    </row>
    <row r="5" spans="2:11" ht="42.75" x14ac:dyDescent="0.25">
      <c r="B5" s="1806" t="s">
        <v>777</v>
      </c>
      <c r="C5" s="1806" t="s">
        <v>778</v>
      </c>
      <c r="D5" s="1805" t="s">
        <v>2786</v>
      </c>
      <c r="E5" s="1807" t="s">
        <v>8</v>
      </c>
      <c r="F5" s="1808" t="s">
        <v>76</v>
      </c>
      <c r="G5" s="1808" t="s">
        <v>10</v>
      </c>
      <c r="H5" s="1808" t="s">
        <v>779</v>
      </c>
      <c r="I5" s="1808" t="s">
        <v>382</v>
      </c>
      <c r="J5" s="1806" t="s">
        <v>2309</v>
      </c>
      <c r="K5" s="1806" t="s">
        <v>2479</v>
      </c>
    </row>
    <row r="6" spans="2:11" ht="66" x14ac:dyDescent="0.25">
      <c r="B6" s="1361" t="s">
        <v>221</v>
      </c>
      <c r="C6" s="1149" t="s">
        <v>780</v>
      </c>
      <c r="D6" s="1150">
        <v>5</v>
      </c>
      <c r="E6" s="1362">
        <v>20.891514083223448</v>
      </c>
      <c r="F6" s="1362">
        <v>13.427991955174999</v>
      </c>
      <c r="G6" s="1362">
        <v>32.958672019078172</v>
      </c>
      <c r="H6" s="1362">
        <v>47.923054361883075</v>
      </c>
      <c r="I6" s="1362">
        <v>40.309900266122298</v>
      </c>
      <c r="J6" s="1362">
        <v>51.246898000000002</v>
      </c>
      <c r="K6" s="1362">
        <v>65.450144999999992</v>
      </c>
    </row>
    <row r="7" spans="2:11" ht="63" customHeight="1" x14ac:dyDescent="0.25">
      <c r="B7" s="1361" t="s">
        <v>781</v>
      </c>
      <c r="C7" s="1149" t="s">
        <v>782</v>
      </c>
      <c r="D7" s="1150">
        <v>1</v>
      </c>
      <c r="E7" s="1362">
        <v>0</v>
      </c>
      <c r="F7" s="1362">
        <v>0</v>
      </c>
      <c r="G7" s="1363">
        <v>9.7086999999999993E-2</v>
      </c>
      <c r="H7" s="1363">
        <v>2.4600213599999998</v>
      </c>
      <c r="I7" s="1362">
        <v>6.1169039999999999</v>
      </c>
      <c r="J7" s="1362">
        <v>11.372872000000001</v>
      </c>
      <c r="K7" s="1362">
        <v>17.811427999999999</v>
      </c>
    </row>
    <row r="8" spans="2:11" ht="49.5" x14ac:dyDescent="0.25">
      <c r="B8" s="1364" t="s">
        <v>331</v>
      </c>
      <c r="C8" s="1149" t="s">
        <v>2464</v>
      </c>
      <c r="D8" s="1150">
        <v>4</v>
      </c>
      <c r="E8" s="1365">
        <v>1.6774999999999998E-2</v>
      </c>
      <c r="F8" s="1365">
        <v>4.9117889999999997E-2</v>
      </c>
      <c r="G8" s="1365">
        <v>5.8015999999999998E-2</v>
      </c>
      <c r="H8" s="1363">
        <v>0.465138</v>
      </c>
      <c r="I8" s="1362">
        <v>1.4564210000000002</v>
      </c>
      <c r="J8" s="1362">
        <v>2.9473229999999999</v>
      </c>
      <c r="K8" s="1362">
        <v>3.9456929999999999</v>
      </c>
    </row>
    <row r="9" spans="2:11" ht="66" x14ac:dyDescent="0.25">
      <c r="B9" s="1364" t="s">
        <v>426</v>
      </c>
      <c r="C9" s="1149" t="s">
        <v>2355</v>
      </c>
      <c r="D9" s="1150">
        <v>5</v>
      </c>
      <c r="E9" s="1362">
        <v>2.0244589999999998</v>
      </c>
      <c r="F9" s="1362">
        <v>4.7162157899999997</v>
      </c>
      <c r="G9" s="1362">
        <v>14.611287170000004</v>
      </c>
      <c r="H9" s="1362">
        <v>38.356004869000003</v>
      </c>
      <c r="I9" s="1362">
        <v>60.573551822999988</v>
      </c>
      <c r="J9" s="1362">
        <v>92.558255000000003</v>
      </c>
      <c r="K9" s="1362">
        <v>125.62367400000001</v>
      </c>
    </row>
    <row r="10" spans="2:11" ht="33" x14ac:dyDescent="0.25">
      <c r="B10" s="1364" t="s">
        <v>442</v>
      </c>
      <c r="C10" s="1149" t="s">
        <v>2356</v>
      </c>
      <c r="D10" s="1150">
        <v>2</v>
      </c>
      <c r="E10" s="1362">
        <v>0</v>
      </c>
      <c r="F10" s="1362">
        <v>0</v>
      </c>
      <c r="G10" s="1362">
        <v>0</v>
      </c>
      <c r="H10" s="1365">
        <v>4.382374E-2</v>
      </c>
      <c r="I10" s="1362">
        <v>0.89868754399999995</v>
      </c>
      <c r="J10" s="1362">
        <v>2.271045</v>
      </c>
      <c r="K10" s="1362">
        <v>5.6387009999999993</v>
      </c>
    </row>
    <row r="11" spans="2:11" ht="33" x14ac:dyDescent="0.25">
      <c r="B11" s="1149" t="s">
        <v>446</v>
      </c>
      <c r="C11" s="1149" t="s">
        <v>433</v>
      </c>
      <c r="D11" s="1150">
        <v>1</v>
      </c>
      <c r="E11" s="1362">
        <v>0</v>
      </c>
      <c r="F11" s="1362">
        <v>0</v>
      </c>
      <c r="G11" s="1362">
        <v>0</v>
      </c>
      <c r="H11" s="1362">
        <v>0</v>
      </c>
      <c r="I11" s="1362">
        <v>0</v>
      </c>
      <c r="J11" s="1362">
        <v>4.4724740000000001</v>
      </c>
      <c r="K11" s="1362">
        <v>7.6682629999999996</v>
      </c>
    </row>
    <row r="12" spans="2:11" ht="66" x14ac:dyDescent="0.25">
      <c r="B12" s="1364" t="s">
        <v>2787</v>
      </c>
      <c r="C12" s="1149" t="s">
        <v>435</v>
      </c>
      <c r="D12" s="1150">
        <v>1</v>
      </c>
      <c r="E12" s="1362">
        <v>21.054654016000001</v>
      </c>
      <c r="F12" s="1362">
        <v>13.823855585</v>
      </c>
      <c r="G12" s="1362">
        <v>25.19012309</v>
      </c>
      <c r="H12" s="1362">
        <v>35.100281099999997</v>
      </c>
      <c r="I12" s="1362">
        <v>38.54346185</v>
      </c>
      <c r="J12" s="1362">
        <v>41.908307000000001</v>
      </c>
      <c r="K12" s="1362">
        <v>45.585943</v>
      </c>
    </row>
    <row r="13" spans="2:11" ht="49.5" x14ac:dyDescent="0.25">
      <c r="B13" s="1149" t="s">
        <v>452</v>
      </c>
      <c r="C13" s="1149" t="s">
        <v>2788</v>
      </c>
      <c r="D13" s="1150">
        <v>4</v>
      </c>
      <c r="E13" s="1362">
        <v>0</v>
      </c>
      <c r="F13" s="1362">
        <v>0</v>
      </c>
      <c r="G13" s="1362">
        <v>0</v>
      </c>
      <c r="H13" s="1362">
        <v>0</v>
      </c>
      <c r="I13" s="1362">
        <v>0</v>
      </c>
      <c r="J13" s="1365">
        <v>0.4672349999999999</v>
      </c>
      <c r="K13" s="1365">
        <v>1.697373</v>
      </c>
    </row>
    <row r="14" spans="2:11" ht="33" x14ac:dyDescent="0.25">
      <c r="B14" s="1364" t="s">
        <v>2789</v>
      </c>
      <c r="C14" s="1149" t="s">
        <v>457</v>
      </c>
      <c r="D14" s="1150">
        <v>1</v>
      </c>
      <c r="E14" s="1362">
        <v>2.7988801477999998</v>
      </c>
      <c r="F14" s="1362">
        <v>2.0859179999999999</v>
      </c>
      <c r="G14" s="1362">
        <v>3.2126039999999998</v>
      </c>
      <c r="H14" s="1363">
        <v>3.2154689999999997</v>
      </c>
      <c r="I14" s="1362">
        <v>3.3448390000000003</v>
      </c>
      <c r="J14" s="1362">
        <v>5.1972810000000003</v>
      </c>
      <c r="K14" s="1362">
        <v>6.5767860000000002</v>
      </c>
    </row>
    <row r="15" spans="2:11" ht="16.5" x14ac:dyDescent="0.25">
      <c r="B15" s="1466" t="s">
        <v>783</v>
      </c>
      <c r="C15" s="1149" t="s">
        <v>435</v>
      </c>
      <c r="D15" s="1150">
        <v>1</v>
      </c>
      <c r="E15" s="1362">
        <v>2.1994399499999999</v>
      </c>
      <c r="F15" s="1365">
        <v>1.3706732669999999</v>
      </c>
      <c r="G15" s="1362">
        <v>2.6145694600000002</v>
      </c>
      <c r="H15" s="1363">
        <v>2.2013801400000004</v>
      </c>
      <c r="I15" s="1362">
        <v>1.64676142</v>
      </c>
      <c r="J15" s="1362">
        <v>3.058373</v>
      </c>
      <c r="K15" s="1362">
        <v>3.3690819999999997</v>
      </c>
    </row>
    <row r="16" spans="2:11" ht="16.5" x14ac:dyDescent="0.25">
      <c r="B16" s="1361" t="s">
        <v>2790</v>
      </c>
      <c r="C16" s="1149" t="s">
        <v>513</v>
      </c>
      <c r="D16" s="1150">
        <v>1</v>
      </c>
      <c r="E16" s="1362">
        <v>1032.8425139999999</v>
      </c>
      <c r="F16" s="1362">
        <v>785.17067099999997</v>
      </c>
      <c r="G16" s="1362">
        <v>1015.1409080000001</v>
      </c>
      <c r="H16" s="1362">
        <v>1209.733917</v>
      </c>
      <c r="I16" s="1362">
        <v>1192.3073762700001</v>
      </c>
      <c r="J16" s="1362">
        <v>1205.2574930000001</v>
      </c>
      <c r="K16" s="1362">
        <v>1217.9431809999999</v>
      </c>
    </row>
    <row r="17" spans="2:11" ht="33" x14ac:dyDescent="0.25">
      <c r="B17" s="1366" t="s">
        <v>466</v>
      </c>
      <c r="C17" s="1149" t="s">
        <v>784</v>
      </c>
      <c r="D17" s="1150">
        <v>2</v>
      </c>
      <c r="E17" s="1365">
        <v>2.6641827999999999E-2</v>
      </c>
      <c r="F17" s="1365">
        <v>0.14958113300000001</v>
      </c>
      <c r="G17" s="1365">
        <v>1.052591579</v>
      </c>
      <c r="H17" s="1363">
        <v>2.8909213</v>
      </c>
      <c r="I17" s="1362">
        <v>5.1149670999999994</v>
      </c>
      <c r="J17" s="1362">
        <v>5.9790829999999993</v>
      </c>
      <c r="K17" s="1362">
        <v>7.9263340000000007</v>
      </c>
    </row>
    <row r="18" spans="2:11" ht="82.5" x14ac:dyDescent="0.25">
      <c r="B18" s="1361" t="s">
        <v>822</v>
      </c>
      <c r="C18" s="1149" t="s">
        <v>785</v>
      </c>
      <c r="D18" s="1150">
        <v>8</v>
      </c>
      <c r="E18" s="1362">
        <v>744.69683762003945</v>
      </c>
      <c r="F18" s="1362">
        <v>649.49374624400002</v>
      </c>
      <c r="G18" s="1362">
        <v>944.76029132026019</v>
      </c>
      <c r="H18" s="1362">
        <v>1084.1519287295</v>
      </c>
      <c r="I18" s="1362">
        <v>1166.0591563919997</v>
      </c>
      <c r="J18" s="1362">
        <v>1311.5266619999998</v>
      </c>
      <c r="K18" s="1362">
        <v>1436.7933739999999</v>
      </c>
    </row>
    <row r="19" spans="2:11" ht="33" x14ac:dyDescent="0.25">
      <c r="B19" s="1366" t="s">
        <v>786</v>
      </c>
      <c r="C19" s="1149" t="s">
        <v>464</v>
      </c>
      <c r="D19" s="1150">
        <v>1</v>
      </c>
      <c r="E19" s="1365">
        <v>6.9983000000000004E-2</v>
      </c>
      <c r="F19" s="1362">
        <v>1.3572850000000001</v>
      </c>
      <c r="G19" s="1362">
        <v>3.8234839245999996</v>
      </c>
      <c r="H19" s="1362">
        <v>5.6524875709260876</v>
      </c>
      <c r="I19" s="1362">
        <v>7.28209899368</v>
      </c>
      <c r="J19" s="1362">
        <v>9.5219439999999995</v>
      </c>
      <c r="K19" s="1362">
        <v>12.079579000000001</v>
      </c>
    </row>
    <row r="20" spans="2:11" ht="115.5" x14ac:dyDescent="0.25">
      <c r="B20" s="1361" t="s">
        <v>507</v>
      </c>
      <c r="C20" s="1149" t="s">
        <v>787</v>
      </c>
      <c r="D20" s="1150">
        <v>10</v>
      </c>
      <c r="E20" s="1362">
        <v>196.66641251755499</v>
      </c>
      <c r="F20" s="1362">
        <v>173.33026526122501</v>
      </c>
      <c r="G20" s="1362">
        <v>302.73034622000006</v>
      </c>
      <c r="H20" s="1362">
        <v>427.52738141138661</v>
      </c>
      <c r="I20" s="1362">
        <v>477.72934608260516</v>
      </c>
      <c r="J20" s="1362">
        <v>564.764498</v>
      </c>
      <c r="K20" s="1362">
        <v>681.61073099999999</v>
      </c>
    </row>
    <row r="21" spans="2:11" ht="49.5" x14ac:dyDescent="0.25">
      <c r="B21" s="1361" t="s">
        <v>532</v>
      </c>
      <c r="C21" s="1149" t="s">
        <v>435</v>
      </c>
      <c r="D21" s="1150">
        <v>1</v>
      </c>
      <c r="E21" s="1362">
        <v>0</v>
      </c>
      <c r="F21" s="1365">
        <v>7.8403970000000003E-2</v>
      </c>
      <c r="G21" s="1363">
        <v>0.69184404999999993</v>
      </c>
      <c r="H21" s="1363">
        <v>1.1943799100000003</v>
      </c>
      <c r="I21" s="1362">
        <v>1.3097077400000001</v>
      </c>
      <c r="J21" s="1362">
        <v>1.808711</v>
      </c>
      <c r="K21" s="1362">
        <v>1.7678370000000001</v>
      </c>
    </row>
    <row r="22" spans="2:11" ht="33" x14ac:dyDescent="0.25">
      <c r="B22" s="1361" t="s">
        <v>535</v>
      </c>
      <c r="C22" s="1149" t="s">
        <v>457</v>
      </c>
      <c r="D22" s="1150">
        <v>1</v>
      </c>
      <c r="E22" s="1362">
        <v>0</v>
      </c>
      <c r="F22" s="1363">
        <v>1.4450729999999998</v>
      </c>
      <c r="G22" s="1362">
        <v>5.341215</v>
      </c>
      <c r="H22" s="1363">
        <v>6.6586290000000004</v>
      </c>
      <c r="I22" s="1362">
        <v>7.6296090000000003</v>
      </c>
      <c r="J22" s="1362">
        <v>9.2650669999999984</v>
      </c>
      <c r="K22" s="1362">
        <v>10.407569000000001</v>
      </c>
    </row>
    <row r="23" spans="2:11" ht="49.5" x14ac:dyDescent="0.25">
      <c r="B23" s="1361" t="s">
        <v>538</v>
      </c>
      <c r="C23" s="1149" t="s">
        <v>2357</v>
      </c>
      <c r="D23" s="1150">
        <v>3</v>
      </c>
      <c r="E23" s="1362">
        <v>0</v>
      </c>
      <c r="F23" s="1362">
        <v>0</v>
      </c>
      <c r="G23" s="1363">
        <v>0.15151799999999996</v>
      </c>
      <c r="H23" s="1363">
        <v>0.41222110000000001</v>
      </c>
      <c r="I23" s="1362">
        <v>0.66661075999999997</v>
      </c>
      <c r="J23" s="1363">
        <v>1.4712350000000001</v>
      </c>
      <c r="K23" s="1362">
        <v>2.5895890000000001</v>
      </c>
    </row>
    <row r="24" spans="2:11" ht="49.5" x14ac:dyDescent="0.25">
      <c r="B24" s="1364" t="s">
        <v>541</v>
      </c>
      <c r="C24" s="1149" t="s">
        <v>788</v>
      </c>
      <c r="D24" s="1150">
        <v>5</v>
      </c>
      <c r="E24" s="1365">
        <v>0.34109169</v>
      </c>
      <c r="F24" s="1363">
        <v>1.1551309999999999</v>
      </c>
      <c r="G24" s="1362">
        <v>3.9990786626136861</v>
      </c>
      <c r="H24" s="1362">
        <v>10.195847115545126</v>
      </c>
      <c r="I24" s="1362">
        <v>13.773028645400004</v>
      </c>
      <c r="J24" s="1362">
        <v>18.248650999999999</v>
      </c>
      <c r="K24" s="1362">
        <v>27.25769</v>
      </c>
    </row>
    <row r="25" spans="2:11" ht="99" x14ac:dyDescent="0.25">
      <c r="B25" s="1361" t="s">
        <v>550</v>
      </c>
      <c r="C25" s="1149" t="s">
        <v>789</v>
      </c>
      <c r="D25" s="1150">
        <v>8</v>
      </c>
      <c r="E25" s="1362">
        <v>1.4397835410000002</v>
      </c>
      <c r="F25" s="1362">
        <v>2.7659424800000001</v>
      </c>
      <c r="G25" s="1362">
        <v>15.173799010212427</v>
      </c>
      <c r="H25" s="1362">
        <v>55.507759824057977</v>
      </c>
      <c r="I25" s="1362">
        <v>111.9061634448849</v>
      </c>
      <c r="J25" s="1362">
        <v>199.09738600000003</v>
      </c>
      <c r="K25" s="1362">
        <v>288.43558200000001</v>
      </c>
    </row>
    <row r="26" spans="2:11" ht="33" x14ac:dyDescent="0.25">
      <c r="B26" s="1361" t="s">
        <v>568</v>
      </c>
      <c r="C26" s="1149" t="s">
        <v>790</v>
      </c>
      <c r="D26" s="1150">
        <v>3</v>
      </c>
      <c r="E26" s="1362">
        <v>5.8169578980000001</v>
      </c>
      <c r="F26" s="1362">
        <v>4.3655100739999995</v>
      </c>
      <c r="G26" s="1362">
        <v>11.680230889999999</v>
      </c>
      <c r="H26" s="1362">
        <v>27.842277680000002</v>
      </c>
      <c r="I26" s="1362">
        <v>43.051404470000001</v>
      </c>
      <c r="J26" s="1362">
        <v>61.892608000000003</v>
      </c>
      <c r="K26" s="1362">
        <v>84.782420999999999</v>
      </c>
    </row>
    <row r="27" spans="2:11" ht="33" x14ac:dyDescent="0.25">
      <c r="B27" s="1361" t="s">
        <v>575</v>
      </c>
      <c r="C27" s="1149" t="s">
        <v>435</v>
      </c>
      <c r="D27" s="1150">
        <v>1</v>
      </c>
      <c r="E27" s="1362">
        <v>0</v>
      </c>
      <c r="F27" s="1362">
        <v>0</v>
      </c>
      <c r="G27" s="1363">
        <v>0.22197984999999998</v>
      </c>
      <c r="H27" s="1363">
        <v>1.5014756200000001</v>
      </c>
      <c r="I27" s="1362">
        <v>4.2500397700000008</v>
      </c>
      <c r="J27" s="1362">
        <v>6.4731540000000001</v>
      </c>
      <c r="K27" s="1362">
        <v>7.7872950000000003</v>
      </c>
    </row>
    <row r="28" spans="2:11" ht="115.5" x14ac:dyDescent="0.25">
      <c r="B28" s="1361" t="s">
        <v>578</v>
      </c>
      <c r="C28" s="1149" t="s">
        <v>791</v>
      </c>
      <c r="D28" s="1150">
        <v>10</v>
      </c>
      <c r="E28" s="1362">
        <v>34.126674163049998</v>
      </c>
      <c r="F28" s="1362">
        <v>23.590499590015781</v>
      </c>
      <c r="G28" s="1362">
        <v>45.08736154583498</v>
      </c>
      <c r="H28" s="1362">
        <v>76.484733744830322</v>
      </c>
      <c r="I28" s="1362">
        <v>94.881489415201443</v>
      </c>
      <c r="J28" s="1362">
        <v>131.91666900000001</v>
      </c>
      <c r="K28" s="1362">
        <v>172.23798399999998</v>
      </c>
    </row>
    <row r="29" spans="2:11" ht="33" x14ac:dyDescent="0.25">
      <c r="B29" s="1367" t="s">
        <v>792</v>
      </c>
      <c r="C29" s="1149" t="s">
        <v>793</v>
      </c>
      <c r="D29" s="1150">
        <v>2</v>
      </c>
      <c r="E29" s="1362">
        <v>0</v>
      </c>
      <c r="F29" s="1365">
        <v>0.26382899999999998</v>
      </c>
      <c r="G29" s="1362">
        <v>2.8416110000000003</v>
      </c>
      <c r="H29" s="1363">
        <v>5.4664800000000007</v>
      </c>
      <c r="I29" s="1362">
        <v>8.4542433237410073</v>
      </c>
      <c r="J29" s="1362">
        <v>12.749656</v>
      </c>
      <c r="K29" s="1362">
        <v>17.704982000000001</v>
      </c>
    </row>
    <row r="30" spans="2:11" ht="33" x14ac:dyDescent="0.25">
      <c r="B30" s="1367" t="s">
        <v>2791</v>
      </c>
      <c r="C30" s="1149" t="s">
        <v>472</v>
      </c>
      <c r="D30" s="1150">
        <v>1</v>
      </c>
      <c r="E30" s="1362">
        <v>0</v>
      </c>
      <c r="F30" s="1362">
        <v>0</v>
      </c>
      <c r="G30" s="1362">
        <v>0</v>
      </c>
      <c r="H30" s="1365">
        <v>7.353339999999999E-3</v>
      </c>
      <c r="I30" s="1365">
        <v>6.0932560000000004E-2</v>
      </c>
      <c r="J30" s="1365">
        <v>0.18828</v>
      </c>
      <c r="K30" s="1362">
        <v>0.40815599999999996</v>
      </c>
    </row>
    <row r="31" spans="2:11" ht="132" x14ac:dyDescent="0.25">
      <c r="B31" s="1361" t="s">
        <v>606</v>
      </c>
      <c r="C31" s="1149" t="s">
        <v>794</v>
      </c>
      <c r="D31" s="1150">
        <v>12</v>
      </c>
      <c r="E31" s="1362">
        <v>738.19372878427998</v>
      </c>
      <c r="F31" s="1362">
        <v>503.81331866300002</v>
      </c>
      <c r="G31" s="1362">
        <v>811.70553575000008</v>
      </c>
      <c r="H31" s="1362">
        <v>1022.3093250900001</v>
      </c>
      <c r="I31" s="1362">
        <v>1130.0651953610004</v>
      </c>
      <c r="J31" s="1362">
        <v>1310.6199750000001</v>
      </c>
      <c r="K31" s="1362">
        <v>1476.838354</v>
      </c>
    </row>
    <row r="32" spans="2:11" ht="33" x14ac:dyDescent="0.25">
      <c r="B32" s="1361" t="s">
        <v>625</v>
      </c>
      <c r="C32" s="1149" t="s">
        <v>564</v>
      </c>
      <c r="D32" s="1150">
        <v>1</v>
      </c>
      <c r="E32" s="1362">
        <v>0</v>
      </c>
      <c r="F32" s="1363">
        <v>1.4178449999999998</v>
      </c>
      <c r="G32" s="1363">
        <v>5.6024780000000005</v>
      </c>
      <c r="H32" s="1362">
        <v>19.413674</v>
      </c>
      <c r="I32" s="1362">
        <v>23.062249000000001</v>
      </c>
      <c r="J32" s="1362">
        <v>31.323204</v>
      </c>
      <c r="K32" s="1362">
        <v>42.802841999999998</v>
      </c>
    </row>
    <row r="33" spans="2:11" ht="33" x14ac:dyDescent="0.25">
      <c r="B33" s="1149" t="s">
        <v>2792</v>
      </c>
      <c r="C33" s="1149" t="s">
        <v>472</v>
      </c>
      <c r="D33" s="1150">
        <v>1</v>
      </c>
      <c r="E33" s="1362">
        <v>0</v>
      </c>
      <c r="F33" s="1362">
        <v>0</v>
      </c>
      <c r="G33" s="1362">
        <v>0</v>
      </c>
      <c r="H33" s="1362">
        <v>0</v>
      </c>
      <c r="I33" s="1362">
        <v>0</v>
      </c>
      <c r="J33" s="1362">
        <v>5.465262000000001</v>
      </c>
      <c r="K33" s="1362">
        <v>7.6148109999999996</v>
      </c>
    </row>
    <row r="34" spans="2:11" ht="49.5" x14ac:dyDescent="0.25">
      <c r="B34" s="1361" t="s">
        <v>631</v>
      </c>
      <c r="C34" s="1149" t="s">
        <v>796</v>
      </c>
      <c r="D34" s="1150">
        <v>5</v>
      </c>
      <c r="E34" s="1362">
        <v>3.2752495489800002</v>
      </c>
      <c r="F34" s="1362">
        <v>2.3555936203032912</v>
      </c>
      <c r="G34" s="1362">
        <v>3.6957691090348805</v>
      </c>
      <c r="H34" s="1363">
        <v>6.8507719186574798</v>
      </c>
      <c r="I34" s="1362">
        <v>11.603185631000001</v>
      </c>
      <c r="J34" s="1362">
        <v>19.515655000000002</v>
      </c>
      <c r="K34" s="1362">
        <v>29.191343</v>
      </c>
    </row>
    <row r="35" spans="2:11" ht="33" x14ac:dyDescent="0.25">
      <c r="B35" s="1361" t="s">
        <v>797</v>
      </c>
      <c r="C35" s="1149" t="s">
        <v>489</v>
      </c>
      <c r="D35" s="1150">
        <v>1</v>
      </c>
      <c r="E35" s="1362">
        <v>0</v>
      </c>
      <c r="F35" s="1368">
        <v>9.41E-4</v>
      </c>
      <c r="G35" s="1365">
        <v>3.8418999999999995E-2</v>
      </c>
      <c r="H35" s="1365">
        <v>0.17960700000000002</v>
      </c>
      <c r="I35" s="1365">
        <v>0.13358299999999998</v>
      </c>
      <c r="J35" s="1365">
        <v>1.095531</v>
      </c>
      <c r="K35" s="1362">
        <v>0.33077099999999998</v>
      </c>
    </row>
    <row r="36" spans="2:11" ht="16.5" x14ac:dyDescent="0.25">
      <c r="B36" s="1361" t="s">
        <v>798</v>
      </c>
      <c r="C36" s="1149" t="s">
        <v>799</v>
      </c>
      <c r="D36" s="1150">
        <v>1</v>
      </c>
      <c r="E36" s="1362">
        <v>0</v>
      </c>
      <c r="F36" s="1368">
        <v>0</v>
      </c>
      <c r="G36" s="1365">
        <v>0</v>
      </c>
      <c r="H36" s="1365">
        <v>5.6980000000000008E-3</v>
      </c>
      <c r="I36" s="1365">
        <v>0.34999400000000003</v>
      </c>
      <c r="J36" s="1365">
        <v>0.28426099999999999</v>
      </c>
      <c r="K36" s="1362">
        <v>1.6869459999999998</v>
      </c>
    </row>
    <row r="37" spans="2:11" ht="99" x14ac:dyDescent="0.25">
      <c r="B37" s="1361" t="s">
        <v>645</v>
      </c>
      <c r="C37" s="1149" t="s">
        <v>800</v>
      </c>
      <c r="D37" s="1150">
        <v>8</v>
      </c>
      <c r="E37" s="1362">
        <v>6.5417742126</v>
      </c>
      <c r="F37" s="1362">
        <v>13.963302564999999</v>
      </c>
      <c r="G37" s="1362">
        <v>42.559632605700003</v>
      </c>
      <c r="H37" s="1362">
        <v>60.726992674099989</v>
      </c>
      <c r="I37" s="1362">
        <v>66.21105077386683</v>
      </c>
      <c r="J37" s="1362">
        <v>79.676174000000003</v>
      </c>
      <c r="K37" s="1362">
        <v>96.002898000000002</v>
      </c>
    </row>
    <row r="38" spans="2:11" ht="33" x14ac:dyDescent="0.25">
      <c r="B38" s="1149" t="s">
        <v>801</v>
      </c>
      <c r="C38" s="1149" t="s">
        <v>433</v>
      </c>
      <c r="D38" s="1150">
        <v>1</v>
      </c>
      <c r="E38" s="1362">
        <v>0</v>
      </c>
      <c r="F38" s="1362">
        <v>0</v>
      </c>
      <c r="G38" s="1362">
        <v>0</v>
      </c>
      <c r="H38" s="1362">
        <v>0</v>
      </c>
      <c r="I38" s="1362">
        <v>0</v>
      </c>
      <c r="J38" s="1365">
        <v>2.6932390000000002</v>
      </c>
      <c r="K38" s="1362">
        <v>5.5370460000000001</v>
      </c>
    </row>
    <row r="39" spans="2:11" ht="132" x14ac:dyDescent="0.25">
      <c r="B39" s="1361" t="s">
        <v>223</v>
      </c>
      <c r="C39" s="1149" t="s">
        <v>802</v>
      </c>
      <c r="D39" s="1150">
        <v>12</v>
      </c>
      <c r="E39" s="1362">
        <v>9.4883653261176484</v>
      </c>
      <c r="F39" s="1362">
        <v>14.980188443283961</v>
      </c>
      <c r="G39" s="1362">
        <v>47.176282409999999</v>
      </c>
      <c r="H39" s="1362">
        <v>94.268172480941274</v>
      </c>
      <c r="I39" s="1362">
        <v>134.15143449500002</v>
      </c>
      <c r="J39" s="1362">
        <v>195.43073000000001</v>
      </c>
      <c r="K39" s="1362">
        <v>287.252478</v>
      </c>
    </row>
    <row r="40" spans="2:11" ht="82.5" x14ac:dyDescent="0.25">
      <c r="B40" s="1361" t="s">
        <v>224</v>
      </c>
      <c r="C40" s="1149" t="s">
        <v>803</v>
      </c>
      <c r="D40" s="1150">
        <v>7</v>
      </c>
      <c r="E40" s="1362">
        <v>0</v>
      </c>
      <c r="F40" s="1368">
        <v>3.8070000000000001E-3</v>
      </c>
      <c r="G40" s="1362">
        <v>2.2273017999999993</v>
      </c>
      <c r="H40" s="1362">
        <v>22.598998299999998</v>
      </c>
      <c r="I40" s="1362">
        <v>59.756612649203603</v>
      </c>
      <c r="J40" s="1362">
        <v>121.86017100000001</v>
      </c>
      <c r="K40" s="1362">
        <v>188.47507200000001</v>
      </c>
    </row>
    <row r="41" spans="2:11" ht="66" x14ac:dyDescent="0.25">
      <c r="B41" s="1364" t="s">
        <v>691</v>
      </c>
      <c r="C41" s="1149" t="s">
        <v>804</v>
      </c>
      <c r="D41" s="1150">
        <v>5</v>
      </c>
      <c r="E41" s="1362">
        <v>13.010079319999999</v>
      </c>
      <c r="F41" s="1362">
        <v>8.9341270000000002</v>
      </c>
      <c r="G41" s="1362">
        <v>32.7475961186463</v>
      </c>
      <c r="H41" s="1362">
        <v>67.877851357829357</v>
      </c>
      <c r="I41" s="1362">
        <v>64.097225503992803</v>
      </c>
      <c r="J41" s="1362">
        <v>93.854204999999979</v>
      </c>
      <c r="K41" s="1362">
        <v>133.564719</v>
      </c>
    </row>
    <row r="42" spans="2:11" ht="33" x14ac:dyDescent="0.25">
      <c r="B42" s="1364" t="s">
        <v>805</v>
      </c>
      <c r="C42" s="1149" t="s">
        <v>411</v>
      </c>
      <c r="D42" s="1150">
        <v>1</v>
      </c>
      <c r="E42" s="1362">
        <v>0</v>
      </c>
      <c r="F42" s="1362">
        <v>0</v>
      </c>
      <c r="G42" s="1362">
        <v>0</v>
      </c>
      <c r="H42" s="1365">
        <v>0.162748</v>
      </c>
      <c r="I42" s="1362">
        <v>1.1742072158273382</v>
      </c>
      <c r="J42" s="1362">
        <v>2.9563610000000002</v>
      </c>
      <c r="K42" s="1362">
        <v>4.9258579999999998</v>
      </c>
    </row>
    <row r="43" spans="2:11" ht="33" x14ac:dyDescent="0.25">
      <c r="B43" s="1361" t="s">
        <v>390</v>
      </c>
      <c r="C43" s="1149" t="s">
        <v>2358</v>
      </c>
      <c r="D43" s="1150">
        <v>2</v>
      </c>
      <c r="E43" s="1362">
        <v>16.263334656489363</v>
      </c>
      <c r="F43" s="1362">
        <v>18.083021000000002</v>
      </c>
      <c r="G43" s="1362">
        <v>19.882297000000001</v>
      </c>
      <c r="H43" s="1362">
        <v>24.333498000000002</v>
      </c>
      <c r="I43" s="1362">
        <v>26.369040999999996</v>
      </c>
      <c r="J43" s="1362">
        <v>28.086612999999996</v>
      </c>
      <c r="K43" s="1362">
        <v>30.429568</v>
      </c>
    </row>
    <row r="44" spans="2:11" ht="33" x14ac:dyDescent="0.25">
      <c r="B44" s="1149" t="s">
        <v>867</v>
      </c>
      <c r="C44" s="1149" t="s">
        <v>414</v>
      </c>
      <c r="D44" s="1150">
        <v>1</v>
      </c>
      <c r="E44" s="1362">
        <v>0</v>
      </c>
      <c r="F44" s="1362">
        <v>0</v>
      </c>
      <c r="G44" s="1362">
        <v>0</v>
      </c>
      <c r="H44" s="1362">
        <v>0</v>
      </c>
      <c r="I44" s="1362">
        <v>0</v>
      </c>
      <c r="J44" s="1365">
        <v>0.27892299999999998</v>
      </c>
      <c r="K44" s="1365">
        <v>0.41238900000000001</v>
      </c>
    </row>
    <row r="45" spans="2:11" ht="148.5" x14ac:dyDescent="0.25">
      <c r="B45" s="1361" t="s">
        <v>709</v>
      </c>
      <c r="C45" s="1149" t="s">
        <v>806</v>
      </c>
      <c r="D45" s="1150">
        <v>12</v>
      </c>
      <c r="E45" s="1362">
        <v>392.04494763735056</v>
      </c>
      <c r="F45" s="1362">
        <v>339.29289931632297</v>
      </c>
      <c r="G45" s="1362">
        <v>545.46854338694698</v>
      </c>
      <c r="H45" s="1362">
        <v>670.20065025280542</v>
      </c>
      <c r="I45" s="1362">
        <v>768.82275610234399</v>
      </c>
      <c r="J45" s="1362">
        <v>931.44554999999991</v>
      </c>
      <c r="K45" s="1362">
        <v>1072.055081</v>
      </c>
    </row>
    <row r="46" spans="2:11" ht="33" x14ac:dyDescent="0.25">
      <c r="B46" s="1361" t="s">
        <v>807</v>
      </c>
      <c r="C46" s="1149" t="s">
        <v>529</v>
      </c>
      <c r="D46" s="1150">
        <v>1</v>
      </c>
      <c r="E46" s="1362">
        <v>0</v>
      </c>
      <c r="F46" s="1368">
        <v>0.35904892999999999</v>
      </c>
      <c r="G46" s="1362">
        <v>1.9069813799999999</v>
      </c>
      <c r="H46" s="1363">
        <v>3.4972511899999992</v>
      </c>
      <c r="I46" s="1362">
        <v>5.6359661150000004</v>
      </c>
      <c r="J46" s="1362">
        <v>8.1229060000000004</v>
      </c>
      <c r="K46" s="1362">
        <v>9.9714829999999992</v>
      </c>
    </row>
    <row r="47" spans="2:11" ht="33" x14ac:dyDescent="0.25">
      <c r="B47" s="1364" t="s">
        <v>808</v>
      </c>
      <c r="C47" s="1149" t="s">
        <v>472</v>
      </c>
      <c r="D47" s="1150">
        <v>1</v>
      </c>
      <c r="E47" s="1368">
        <v>5.318399999999999E-4</v>
      </c>
      <c r="F47" s="1368">
        <v>0.40154606999999998</v>
      </c>
      <c r="G47" s="1362">
        <v>7.9957348809999997</v>
      </c>
      <c r="H47" s="1363">
        <v>4.9028689999999999</v>
      </c>
      <c r="I47" s="1362">
        <v>7.9401085199999999</v>
      </c>
      <c r="J47" s="1362">
        <v>10.991524</v>
      </c>
      <c r="K47" s="1362">
        <v>13.446719</v>
      </c>
    </row>
    <row r="48" spans="2:11" ht="33" x14ac:dyDescent="0.25">
      <c r="B48" s="1364" t="s">
        <v>809</v>
      </c>
      <c r="C48" s="1149" t="s">
        <v>527</v>
      </c>
      <c r="D48" s="1150">
        <v>1</v>
      </c>
      <c r="E48" s="1362">
        <v>0</v>
      </c>
      <c r="F48" s="1362">
        <v>0</v>
      </c>
      <c r="G48" s="1362">
        <v>0</v>
      </c>
      <c r="H48" s="1362">
        <v>35.670153820000003</v>
      </c>
      <c r="I48" s="1362">
        <v>39.637417194999998</v>
      </c>
      <c r="J48" s="1362">
        <v>45.239587</v>
      </c>
      <c r="K48" s="1362">
        <v>50.848421000000002</v>
      </c>
    </row>
    <row r="49" spans="2:11" ht="49.5" x14ac:dyDescent="0.25">
      <c r="B49" s="1361" t="s">
        <v>757</v>
      </c>
      <c r="C49" s="1149" t="s">
        <v>810</v>
      </c>
      <c r="D49" s="1150">
        <v>4</v>
      </c>
      <c r="E49" s="1362">
        <v>1.0621910099999998</v>
      </c>
      <c r="F49" s="1362">
        <v>5.0080116549999998</v>
      </c>
      <c r="G49" s="1362">
        <v>12.045061055286631</v>
      </c>
      <c r="H49" s="1362">
        <v>18.221065893851378</v>
      </c>
      <c r="I49" s="1362">
        <v>20.493259209999998</v>
      </c>
      <c r="J49" s="1362">
        <v>26.056018999999999</v>
      </c>
      <c r="K49" s="1362">
        <v>28.506439999999998</v>
      </c>
    </row>
    <row r="50" spans="2:11" ht="66" x14ac:dyDescent="0.25">
      <c r="B50" s="1361" t="s">
        <v>811</v>
      </c>
      <c r="C50" s="1149" t="s">
        <v>812</v>
      </c>
      <c r="D50" s="1150">
        <v>5</v>
      </c>
      <c r="E50" s="1362">
        <v>2.42186833813044</v>
      </c>
      <c r="F50" s="1362">
        <v>1.8596612799999999</v>
      </c>
      <c r="G50" s="1362">
        <v>3.5267908889999999</v>
      </c>
      <c r="H50" s="1363">
        <v>6.4896069199999999</v>
      </c>
      <c r="I50" s="1362">
        <v>4.6788021969999996</v>
      </c>
      <c r="J50" s="1362">
        <v>19.424430000000001</v>
      </c>
      <c r="K50" s="1362">
        <v>37.432985000000002</v>
      </c>
    </row>
    <row r="51" spans="2:11" ht="16.5" x14ac:dyDescent="0.25">
      <c r="B51" s="1369" t="s">
        <v>133</v>
      </c>
      <c r="C51" s="1369"/>
      <c r="D51" s="1369">
        <f>SUM(D6:D50)</f>
        <v>164</v>
      </c>
      <c r="E51" s="1369">
        <f t="shared" ref="E51:K51" si="0">SUM(E6:E50)</f>
        <v>3247.314689128616</v>
      </c>
      <c r="F51" s="1369">
        <f t="shared" si="0"/>
        <v>2589.1130217823261</v>
      </c>
      <c r="G51" s="1369">
        <f t="shared" si="0"/>
        <v>3968.0170411772137</v>
      </c>
      <c r="H51" s="1369">
        <f t="shared" si="0"/>
        <v>5102.7018998153126</v>
      </c>
      <c r="I51" s="1369">
        <f t="shared" si="0"/>
        <v>5651.5487888398693</v>
      </c>
      <c r="J51" s="1369">
        <f t="shared" si="0"/>
        <v>6690.081479999998</v>
      </c>
      <c r="K51" s="1369">
        <f t="shared" si="0"/>
        <v>7770.4256160000023</v>
      </c>
    </row>
    <row r="52" spans="2:11" x14ac:dyDescent="0.25">
      <c r="B52" s="2304" t="s">
        <v>3025</v>
      </c>
    </row>
    <row r="64" spans="2:11" ht="1.5" customHeight="1" x14ac:dyDescent="0.25"/>
  </sheetData>
  <mergeCells count="2">
    <mergeCell ref="B2:K2"/>
    <mergeCell ref="B3:K3"/>
  </mergeCells>
  <pageMargins left="0.7" right="0.7" top="0.75" bottom="0.75" header="0.3" footer="0.3"/>
  <pageSetup paperSize="9" scale="67" orientation="landscape" verticalDpi="300"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684854-8556-451E-AB5E-26F8B94B3A2C}">
  <sheetPr>
    <tabColor theme="0"/>
  </sheetPr>
  <dimension ref="C1:I39"/>
  <sheetViews>
    <sheetView topLeftCell="A26" workbookViewId="0">
      <selection activeCell="B81" sqref="B81"/>
    </sheetView>
  </sheetViews>
  <sheetFormatPr defaultRowHeight="15" x14ac:dyDescent="0.25"/>
  <cols>
    <col min="3" max="3" width="24.7109375" customWidth="1"/>
    <col min="4" max="4" width="16.85546875" customWidth="1"/>
    <col min="5" max="6" width="15.28515625" customWidth="1"/>
    <col min="7" max="7" width="12.7109375" customWidth="1"/>
    <col min="8" max="9" width="19.140625" customWidth="1"/>
  </cols>
  <sheetData>
    <row r="1" spans="3:9" ht="18.75" x14ac:dyDescent="0.25">
      <c r="C1" s="2938" t="s">
        <v>2843</v>
      </c>
      <c r="D1" s="2938"/>
      <c r="E1" s="2938"/>
      <c r="F1" s="2938"/>
      <c r="G1" s="2938"/>
      <c r="H1" s="2938"/>
      <c r="I1" s="2938"/>
    </row>
    <row r="2" spans="3:9" x14ac:dyDescent="0.25">
      <c r="C2" s="2937" t="s">
        <v>2844</v>
      </c>
      <c r="D2" s="2937"/>
      <c r="E2" s="2937"/>
      <c r="F2" s="2937"/>
      <c r="G2" s="2937"/>
      <c r="H2" s="2937"/>
      <c r="I2" s="2937"/>
    </row>
    <row r="3" spans="3:9" x14ac:dyDescent="0.25">
      <c r="C3" s="2936" t="s">
        <v>217</v>
      </c>
      <c r="D3" s="2936" t="s">
        <v>2845</v>
      </c>
      <c r="E3" s="2936"/>
      <c r="F3" s="2936"/>
      <c r="G3" s="2936" t="s">
        <v>813</v>
      </c>
      <c r="H3" s="2936"/>
      <c r="I3" s="2936"/>
    </row>
    <row r="4" spans="3:9" x14ac:dyDescent="0.25">
      <c r="C4" s="2936"/>
      <c r="D4" s="1800" t="s">
        <v>1002</v>
      </c>
      <c r="E4" s="1800" t="s">
        <v>2312</v>
      </c>
      <c r="F4" s="2185">
        <v>46113</v>
      </c>
      <c r="G4" s="2186" t="s">
        <v>1002</v>
      </c>
      <c r="H4" s="2186" t="s">
        <v>2312</v>
      </c>
      <c r="I4" s="2185">
        <v>46113</v>
      </c>
    </row>
    <row r="5" spans="3:9" x14ac:dyDescent="0.25">
      <c r="C5" s="1864" t="s">
        <v>221</v>
      </c>
      <c r="D5" s="1865">
        <v>275517</v>
      </c>
      <c r="E5" s="1865">
        <v>285425</v>
      </c>
      <c r="F5" s="1573">
        <v>296440</v>
      </c>
      <c r="G5" s="1573">
        <v>203</v>
      </c>
      <c r="H5" s="1573">
        <v>233</v>
      </c>
      <c r="I5" s="1573">
        <v>242</v>
      </c>
    </row>
    <row r="6" spans="3:9" x14ac:dyDescent="0.25">
      <c r="C6" s="1864" t="s">
        <v>220</v>
      </c>
      <c r="D6" s="1865"/>
      <c r="E6" s="1865">
        <v>0</v>
      </c>
      <c r="F6" s="1573">
        <v>0</v>
      </c>
      <c r="G6" s="1573"/>
      <c r="H6" s="1573">
        <v>0</v>
      </c>
      <c r="I6" s="1573">
        <v>0</v>
      </c>
    </row>
    <row r="7" spans="3:9" x14ac:dyDescent="0.25">
      <c r="C7" s="1864" t="s">
        <v>331</v>
      </c>
      <c r="D7" s="1865">
        <v>58474</v>
      </c>
      <c r="E7" s="1865">
        <v>67830</v>
      </c>
      <c r="F7" s="1573">
        <v>74316</v>
      </c>
      <c r="G7" s="1573">
        <v>22</v>
      </c>
      <c r="H7" s="1573">
        <v>35</v>
      </c>
      <c r="I7" s="1573">
        <v>45</v>
      </c>
    </row>
    <row r="8" spans="3:9" x14ac:dyDescent="0.25">
      <c r="C8" s="1864" t="s">
        <v>426</v>
      </c>
      <c r="D8" s="1865">
        <v>162171</v>
      </c>
      <c r="E8" s="1865">
        <v>251955</v>
      </c>
      <c r="F8" s="1573">
        <v>320806</v>
      </c>
      <c r="G8" s="1573">
        <v>151</v>
      </c>
      <c r="H8" s="1573">
        <v>219</v>
      </c>
      <c r="I8" s="1573">
        <v>250</v>
      </c>
    </row>
    <row r="9" spans="3:9" x14ac:dyDescent="0.25">
      <c r="C9" s="1864" t="s">
        <v>1484</v>
      </c>
      <c r="D9" s="1865">
        <v>26845</v>
      </c>
      <c r="E9" s="1865">
        <v>30316</v>
      </c>
      <c r="F9" s="1573">
        <v>33295</v>
      </c>
      <c r="G9" s="1573">
        <v>9</v>
      </c>
      <c r="H9" s="1573">
        <v>10</v>
      </c>
      <c r="I9" s="1573">
        <v>10</v>
      </c>
    </row>
    <row r="10" spans="3:9" x14ac:dyDescent="0.25">
      <c r="C10" s="1864" t="s">
        <v>452</v>
      </c>
      <c r="D10" s="1865">
        <v>3499</v>
      </c>
      <c r="E10" s="1865">
        <v>11002</v>
      </c>
      <c r="F10" s="1573">
        <v>19796</v>
      </c>
      <c r="G10" s="1573">
        <v>23</v>
      </c>
      <c r="H10" s="1573">
        <v>55</v>
      </c>
      <c r="I10" s="1573">
        <v>72</v>
      </c>
    </row>
    <row r="11" spans="3:9" ht="30" x14ac:dyDescent="0.25">
      <c r="C11" s="1904" t="s">
        <v>3008</v>
      </c>
      <c r="D11" s="1573">
        <v>17560</v>
      </c>
      <c r="E11" s="1573">
        <v>19034</v>
      </c>
      <c r="F11" s="1573">
        <v>20509</v>
      </c>
      <c r="G11" s="1573">
        <v>12</v>
      </c>
      <c r="H11" s="1573">
        <v>12</v>
      </c>
      <c r="I11" s="1573">
        <v>12</v>
      </c>
    </row>
    <row r="12" spans="3:9" x14ac:dyDescent="0.25">
      <c r="C12" s="1864" t="s">
        <v>1485</v>
      </c>
      <c r="D12" s="1865">
        <v>1564294</v>
      </c>
      <c r="E12" s="1865">
        <v>1723294</v>
      </c>
      <c r="F12" s="1573">
        <v>1929512</v>
      </c>
      <c r="G12" s="1573">
        <v>491</v>
      </c>
      <c r="H12" s="1573">
        <v>508</v>
      </c>
      <c r="I12" s="1573">
        <v>457</v>
      </c>
    </row>
    <row r="13" spans="3:9" x14ac:dyDescent="0.25">
      <c r="C13" s="1864" t="s">
        <v>466</v>
      </c>
      <c r="D13" s="1865">
        <v>13598</v>
      </c>
      <c r="E13" s="1865">
        <v>18865</v>
      </c>
      <c r="F13" s="1573">
        <v>20085</v>
      </c>
      <c r="G13" s="1573">
        <v>12</v>
      </c>
      <c r="H13" s="1573">
        <v>14</v>
      </c>
      <c r="I13" s="1573">
        <v>15</v>
      </c>
    </row>
    <row r="14" spans="3:9" x14ac:dyDescent="0.25">
      <c r="C14" s="1864" t="s">
        <v>822</v>
      </c>
      <c r="D14" s="1865">
        <v>3288498</v>
      </c>
      <c r="E14" s="1865">
        <v>3579961</v>
      </c>
      <c r="F14" s="1573">
        <v>3844934</v>
      </c>
      <c r="G14" s="1573">
        <v>1017</v>
      </c>
      <c r="H14" s="1573">
        <v>1055</v>
      </c>
      <c r="I14" s="1573">
        <v>1102</v>
      </c>
    </row>
    <row r="15" spans="3:9" x14ac:dyDescent="0.25">
      <c r="C15" s="1864" t="s">
        <v>507</v>
      </c>
      <c r="D15" s="1865">
        <v>396852</v>
      </c>
      <c r="E15" s="1865">
        <v>499489</v>
      </c>
      <c r="F15" s="1573">
        <v>584455</v>
      </c>
      <c r="G15" s="1573">
        <v>466</v>
      </c>
      <c r="H15" s="1573">
        <v>542</v>
      </c>
      <c r="I15" s="1573">
        <v>603</v>
      </c>
    </row>
    <row r="16" spans="3:9" x14ac:dyDescent="0.25">
      <c r="C16" s="1864" t="s">
        <v>538</v>
      </c>
      <c r="D16" s="1865">
        <v>7715</v>
      </c>
      <c r="E16" s="1865">
        <v>9926</v>
      </c>
      <c r="F16" s="1573">
        <v>13983</v>
      </c>
      <c r="G16" s="1573">
        <v>15</v>
      </c>
      <c r="H16" s="1573">
        <v>22</v>
      </c>
      <c r="I16" s="1573">
        <v>26</v>
      </c>
    </row>
    <row r="17" spans="3:9" x14ac:dyDescent="0.25">
      <c r="C17" s="1864" t="s">
        <v>541</v>
      </c>
      <c r="D17" s="1865">
        <v>140014</v>
      </c>
      <c r="E17" s="1865">
        <v>175143</v>
      </c>
      <c r="F17" s="1573">
        <v>194116</v>
      </c>
      <c r="G17" s="1573">
        <v>111</v>
      </c>
      <c r="H17" s="1573">
        <v>131</v>
      </c>
      <c r="I17" s="1573">
        <v>156</v>
      </c>
    </row>
    <row r="18" spans="3:9" x14ac:dyDescent="0.25">
      <c r="C18" s="1864" t="s">
        <v>550</v>
      </c>
      <c r="D18" s="1865">
        <v>441432</v>
      </c>
      <c r="E18" s="1865">
        <v>501910</v>
      </c>
      <c r="F18" s="1573">
        <v>591851</v>
      </c>
      <c r="G18" s="1573">
        <v>379</v>
      </c>
      <c r="H18" s="1573">
        <v>455</v>
      </c>
      <c r="I18" s="1573">
        <v>516</v>
      </c>
    </row>
    <row r="19" spans="3:9" x14ac:dyDescent="0.25">
      <c r="C19" s="1864" t="s">
        <v>568</v>
      </c>
      <c r="D19" s="1865">
        <v>76894</v>
      </c>
      <c r="E19" s="1865">
        <v>137524</v>
      </c>
      <c r="F19" s="1573">
        <v>155395</v>
      </c>
      <c r="G19" s="1573">
        <v>146</v>
      </c>
      <c r="H19" s="1573">
        <v>222</v>
      </c>
      <c r="I19" s="1573">
        <v>251</v>
      </c>
    </row>
    <row r="20" spans="3:9" x14ac:dyDescent="0.25">
      <c r="C20" s="1864" t="s">
        <v>578</v>
      </c>
      <c r="D20" s="1865">
        <v>239468</v>
      </c>
      <c r="E20" s="1865">
        <v>289948</v>
      </c>
      <c r="F20" s="1573">
        <v>330990</v>
      </c>
      <c r="G20" s="1573">
        <v>337</v>
      </c>
      <c r="H20" s="1573">
        <v>397</v>
      </c>
      <c r="I20" s="1573">
        <v>424</v>
      </c>
    </row>
    <row r="21" spans="3:9" x14ac:dyDescent="0.25">
      <c r="C21" s="1864" t="s">
        <v>606</v>
      </c>
      <c r="D21" s="1865">
        <v>3617571</v>
      </c>
      <c r="E21" s="1865">
        <v>4250826</v>
      </c>
      <c r="F21" s="1573">
        <v>4708779</v>
      </c>
      <c r="G21" s="1573">
        <v>964</v>
      </c>
      <c r="H21" s="1573">
        <v>1122</v>
      </c>
      <c r="I21" s="1573">
        <v>1309</v>
      </c>
    </row>
    <row r="22" spans="3:9" x14ac:dyDescent="0.25">
      <c r="C22" s="1864" t="s">
        <v>1492</v>
      </c>
      <c r="D22" s="1865"/>
      <c r="E22" s="1865">
        <v>0</v>
      </c>
      <c r="F22" s="1573">
        <v>0</v>
      </c>
      <c r="G22" s="1573"/>
      <c r="H22" s="1573">
        <v>0</v>
      </c>
      <c r="I22" s="1573">
        <v>0</v>
      </c>
    </row>
    <row r="23" spans="3:9" x14ac:dyDescent="0.25">
      <c r="C23" s="1864" t="s">
        <v>1493</v>
      </c>
      <c r="D23" s="1865"/>
      <c r="E23" s="1865">
        <v>0</v>
      </c>
      <c r="F23" s="1573">
        <v>0</v>
      </c>
      <c r="G23" s="1573"/>
      <c r="H23" s="1573">
        <v>0</v>
      </c>
      <c r="I23" s="1573">
        <v>4</v>
      </c>
    </row>
    <row r="24" spans="3:9" x14ac:dyDescent="0.25">
      <c r="C24" s="1864" t="s">
        <v>1494</v>
      </c>
      <c r="D24" s="1865"/>
      <c r="E24" s="1865">
        <v>0</v>
      </c>
      <c r="F24" s="1573">
        <v>0</v>
      </c>
      <c r="G24" s="1573"/>
      <c r="H24" s="1573">
        <v>0</v>
      </c>
      <c r="I24" s="1573">
        <v>0</v>
      </c>
    </row>
    <row r="25" spans="3:9" x14ac:dyDescent="0.25">
      <c r="C25" s="1864" t="s">
        <v>1495</v>
      </c>
      <c r="D25" s="1865"/>
      <c r="E25" s="1865">
        <v>0</v>
      </c>
      <c r="F25" s="1573">
        <v>0</v>
      </c>
      <c r="G25" s="1573"/>
      <c r="H25" s="1573">
        <v>0</v>
      </c>
      <c r="I25" s="1573">
        <v>0</v>
      </c>
    </row>
    <row r="26" spans="3:9" x14ac:dyDescent="0.25">
      <c r="C26" s="1864" t="s">
        <v>631</v>
      </c>
      <c r="D26" s="1865">
        <v>121446</v>
      </c>
      <c r="E26" s="1865">
        <v>161281</v>
      </c>
      <c r="F26" s="1573">
        <v>184997</v>
      </c>
      <c r="G26" s="1573">
        <v>105</v>
      </c>
      <c r="H26" s="1573">
        <v>137</v>
      </c>
      <c r="I26" s="1573">
        <v>159</v>
      </c>
    </row>
    <row r="27" spans="3:9" x14ac:dyDescent="0.25">
      <c r="C27" s="1864" t="s">
        <v>851</v>
      </c>
      <c r="D27" s="1865">
        <v>0</v>
      </c>
      <c r="E27" s="1865">
        <v>0</v>
      </c>
      <c r="F27" s="1573">
        <v>75</v>
      </c>
      <c r="G27" s="1573">
        <v>5</v>
      </c>
      <c r="H27" s="1573">
        <v>15</v>
      </c>
      <c r="I27" s="1573">
        <v>15</v>
      </c>
    </row>
    <row r="28" spans="3:9" x14ac:dyDescent="0.25">
      <c r="C28" s="1864" t="s">
        <v>645</v>
      </c>
      <c r="D28" s="1865">
        <v>87548</v>
      </c>
      <c r="E28" s="1865">
        <v>108161</v>
      </c>
      <c r="F28" s="1573">
        <v>137830</v>
      </c>
      <c r="G28" s="1573">
        <v>246</v>
      </c>
      <c r="H28" s="1573">
        <v>271</v>
      </c>
      <c r="I28" s="1573">
        <v>305</v>
      </c>
    </row>
    <row r="29" spans="3:9" x14ac:dyDescent="0.25">
      <c r="C29" s="1864" t="s">
        <v>223</v>
      </c>
      <c r="D29" s="1865">
        <v>320845</v>
      </c>
      <c r="E29" s="1865">
        <v>438939</v>
      </c>
      <c r="F29" s="1573">
        <v>529111</v>
      </c>
      <c r="G29" s="1573">
        <v>354</v>
      </c>
      <c r="H29" s="1573">
        <v>455</v>
      </c>
      <c r="I29" s="1573">
        <v>496</v>
      </c>
    </row>
    <row r="30" spans="3:9" x14ac:dyDescent="0.25">
      <c r="C30" s="1864" t="s">
        <v>1496</v>
      </c>
      <c r="D30" s="1865"/>
      <c r="E30" s="1865">
        <v>0</v>
      </c>
      <c r="F30" s="1573">
        <v>0</v>
      </c>
      <c r="G30" s="1573"/>
      <c r="H30" s="1573">
        <v>0</v>
      </c>
      <c r="I30" s="1573">
        <v>0</v>
      </c>
    </row>
    <row r="31" spans="3:9" x14ac:dyDescent="0.25">
      <c r="C31" s="1864" t="s">
        <v>224</v>
      </c>
      <c r="D31" s="1865">
        <v>30525</v>
      </c>
      <c r="E31" s="1865">
        <v>79218</v>
      </c>
      <c r="F31" s="1573">
        <v>132226</v>
      </c>
      <c r="G31" s="1573">
        <v>338</v>
      </c>
      <c r="H31" s="1573">
        <v>436</v>
      </c>
      <c r="I31" s="1573">
        <v>503</v>
      </c>
    </row>
    <row r="32" spans="3:9" x14ac:dyDescent="0.25">
      <c r="C32" s="1864" t="s">
        <v>691</v>
      </c>
      <c r="D32" s="1865">
        <v>211940</v>
      </c>
      <c r="E32" s="1865">
        <v>236044</v>
      </c>
      <c r="F32" s="1573">
        <v>263342</v>
      </c>
      <c r="G32" s="1573">
        <v>186</v>
      </c>
      <c r="H32" s="1573">
        <v>225</v>
      </c>
      <c r="I32" s="1573">
        <v>245</v>
      </c>
    </row>
    <row r="33" spans="3:9" x14ac:dyDescent="0.25">
      <c r="C33" s="1864" t="s">
        <v>390</v>
      </c>
      <c r="D33" s="1865">
        <v>62136</v>
      </c>
      <c r="E33" s="1865">
        <v>66139</v>
      </c>
      <c r="F33" s="1573">
        <v>70840</v>
      </c>
      <c r="G33" s="1573">
        <v>18</v>
      </c>
      <c r="H33" s="1573">
        <v>27</v>
      </c>
      <c r="I33" s="1573">
        <v>30</v>
      </c>
    </row>
    <row r="34" spans="3:9" x14ac:dyDescent="0.25">
      <c r="C34" s="1864" t="s">
        <v>1521</v>
      </c>
      <c r="D34" s="1865"/>
      <c r="E34" s="1865">
        <v>0</v>
      </c>
      <c r="F34" s="1573">
        <v>0</v>
      </c>
      <c r="G34" s="1573">
        <v>1</v>
      </c>
      <c r="H34" s="1573">
        <v>3</v>
      </c>
      <c r="I34" s="1573">
        <v>3</v>
      </c>
    </row>
    <row r="35" spans="3:9" x14ac:dyDescent="0.25">
      <c r="C35" s="1864" t="s">
        <v>1488</v>
      </c>
      <c r="D35" s="1865"/>
      <c r="E35" s="1865">
        <v>0</v>
      </c>
      <c r="F35" s="1573">
        <v>0</v>
      </c>
      <c r="G35" s="1573"/>
      <c r="H35" s="1573">
        <v>0</v>
      </c>
      <c r="I35" s="1573">
        <v>0</v>
      </c>
    </row>
    <row r="36" spans="3:9" x14ac:dyDescent="0.25">
      <c r="C36" s="1864" t="s">
        <v>709</v>
      </c>
      <c r="D36" s="1865">
        <v>1650326</v>
      </c>
      <c r="E36" s="1865">
        <v>1935296</v>
      </c>
      <c r="F36" s="1573">
        <v>2245832</v>
      </c>
      <c r="G36" s="1573">
        <v>1081</v>
      </c>
      <c r="H36" s="1573">
        <v>1215</v>
      </c>
      <c r="I36" s="1573">
        <v>1367</v>
      </c>
    </row>
    <row r="37" spans="3:9" x14ac:dyDescent="0.25">
      <c r="C37" s="1864" t="s">
        <v>757</v>
      </c>
      <c r="D37" s="1865">
        <v>82704</v>
      </c>
      <c r="E37" s="1865">
        <v>88953</v>
      </c>
      <c r="F37" s="1573">
        <v>93904</v>
      </c>
      <c r="G37" s="1573">
        <v>42</v>
      </c>
      <c r="H37" s="1573">
        <v>51</v>
      </c>
      <c r="I37" s="1573">
        <v>57</v>
      </c>
    </row>
    <row r="38" spans="3:9" x14ac:dyDescent="0.25">
      <c r="C38" s="1864" t="s">
        <v>225</v>
      </c>
      <c r="D38" s="1865">
        <v>24644</v>
      </c>
      <c r="E38" s="1865">
        <v>74992</v>
      </c>
      <c r="F38" s="1573">
        <v>152328</v>
      </c>
      <c r="G38" s="1573">
        <v>127</v>
      </c>
      <c r="H38" s="1573">
        <v>200</v>
      </c>
      <c r="I38" s="1573">
        <v>242</v>
      </c>
    </row>
    <row r="39" spans="3:9" x14ac:dyDescent="0.25">
      <c r="C39" s="2186" t="s">
        <v>133</v>
      </c>
      <c r="D39" s="2186">
        <v>12922516</v>
      </c>
      <c r="E39" s="2186">
        <v>15041471</v>
      </c>
      <c r="F39" s="2186">
        <f>SUM(F5:F38)</f>
        <v>16949747</v>
      </c>
      <c r="G39" s="2186">
        <v>6861</v>
      </c>
      <c r="H39" s="2186">
        <v>8067</v>
      </c>
      <c r="I39" s="2186">
        <f>SUM(I5:I38)</f>
        <v>8916</v>
      </c>
    </row>
  </sheetData>
  <mergeCells count="5">
    <mergeCell ref="C3:C4"/>
    <mergeCell ref="C2:I2"/>
    <mergeCell ref="C1:I1"/>
    <mergeCell ref="D3:F3"/>
    <mergeCell ref="G3:I3"/>
  </mergeCell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36FC7E-FF68-44A1-8045-B9107B66C781}">
  <sheetPr>
    <tabColor rgb="FFFFFF00"/>
    <pageSetUpPr fitToPage="1"/>
  </sheetPr>
  <dimension ref="A1:J65"/>
  <sheetViews>
    <sheetView view="pageBreakPreview" zoomScale="80" zoomScaleNormal="85" zoomScaleSheetLayoutView="80" workbookViewId="0">
      <selection activeCell="C2" sqref="C2:E2"/>
    </sheetView>
  </sheetViews>
  <sheetFormatPr defaultRowHeight="15" x14ac:dyDescent="0.25"/>
  <cols>
    <col min="1" max="1" width="7.28515625" style="1631" customWidth="1"/>
    <col min="2" max="2" width="28.140625" customWidth="1"/>
    <col min="3" max="3" width="12" customWidth="1"/>
    <col min="4" max="4" width="13.85546875" customWidth="1"/>
    <col min="5" max="5" width="13.140625" customWidth="1"/>
    <col min="6" max="6" width="17" customWidth="1"/>
    <col min="7" max="7" width="13.28515625" customWidth="1"/>
    <col min="8" max="8" width="13.5703125" customWidth="1"/>
    <col min="10" max="10" width="31.7109375" customWidth="1"/>
  </cols>
  <sheetData>
    <row r="1" spans="1:10" ht="30" customHeight="1" x14ac:dyDescent="0.25">
      <c r="A1" s="2943" t="s">
        <v>2643</v>
      </c>
      <c r="B1" s="2944"/>
      <c r="C1" s="2944"/>
      <c r="D1" s="2944"/>
      <c r="E1" s="2944"/>
      <c r="F1" s="2944"/>
      <c r="G1" s="2944"/>
      <c r="H1" s="2944"/>
    </row>
    <row r="2" spans="1:10" ht="30" customHeight="1" x14ac:dyDescent="0.25">
      <c r="A2" s="2945" t="s">
        <v>156</v>
      </c>
      <c r="B2" s="2947" t="s">
        <v>1477</v>
      </c>
      <c r="C2" s="2940" t="s">
        <v>2639</v>
      </c>
      <c r="D2" s="2941"/>
      <c r="E2" s="2942"/>
      <c r="F2" s="2940" t="s">
        <v>2640</v>
      </c>
      <c r="G2" s="2941"/>
      <c r="H2" s="2942"/>
    </row>
    <row r="3" spans="1:10" ht="66.75" customHeight="1" x14ac:dyDescent="0.25">
      <c r="A3" s="2946"/>
      <c r="B3" s="2948"/>
      <c r="C3" s="1630" t="s">
        <v>1694</v>
      </c>
      <c r="D3" s="1630" t="s">
        <v>2335</v>
      </c>
      <c r="E3" s="1630" t="s">
        <v>2311</v>
      </c>
      <c r="F3" s="1630" t="s">
        <v>966</v>
      </c>
      <c r="G3" s="1630" t="s">
        <v>2285</v>
      </c>
      <c r="H3" s="1630" t="s">
        <v>2314</v>
      </c>
    </row>
    <row r="4" spans="1:10" ht="22.5" customHeight="1" x14ac:dyDescent="0.25">
      <c r="A4" s="1075">
        <v>1</v>
      </c>
      <c r="B4" s="1622" t="s">
        <v>221</v>
      </c>
      <c r="C4" s="1552"/>
      <c r="D4" s="1552"/>
      <c r="E4" s="1552"/>
      <c r="F4" s="1552"/>
      <c r="G4" s="24"/>
      <c r="H4" s="24"/>
    </row>
    <row r="5" spans="1:10" ht="22.5" customHeight="1" x14ac:dyDescent="0.25">
      <c r="A5" s="1075">
        <v>2</v>
      </c>
      <c r="B5" s="1622" t="s">
        <v>220</v>
      </c>
      <c r="C5" s="1552"/>
      <c r="D5" s="1552"/>
      <c r="E5" s="1552"/>
      <c r="F5" s="1552"/>
      <c r="G5" s="24"/>
      <c r="H5" s="24"/>
    </row>
    <row r="6" spans="1:10" ht="22.5" customHeight="1" x14ac:dyDescent="0.25">
      <c r="A6" s="1075">
        <v>3</v>
      </c>
      <c r="B6" s="1622" t="s">
        <v>331</v>
      </c>
      <c r="C6" s="1552"/>
      <c r="D6" s="1552"/>
      <c r="E6" s="1552"/>
      <c r="F6" s="1552"/>
      <c r="G6" s="24"/>
      <c r="H6" s="24"/>
    </row>
    <row r="7" spans="1:10" ht="22.5" customHeight="1" x14ac:dyDescent="0.25">
      <c r="A7" s="1075">
        <v>4</v>
      </c>
      <c r="B7" s="1622" t="s">
        <v>426</v>
      </c>
      <c r="C7" s="1552"/>
      <c r="D7" s="1552"/>
      <c r="E7" s="1552"/>
      <c r="F7" s="1552"/>
      <c r="G7" s="24"/>
      <c r="H7" s="24"/>
    </row>
    <row r="8" spans="1:10" ht="22.5" customHeight="1" x14ac:dyDescent="0.25">
      <c r="A8" s="1075">
        <v>5</v>
      </c>
      <c r="B8" s="1622" t="s">
        <v>1484</v>
      </c>
      <c r="C8" s="1552"/>
      <c r="D8" s="1552"/>
      <c r="E8" s="1552"/>
      <c r="F8" s="1552"/>
      <c r="G8" s="24"/>
      <c r="H8" s="24"/>
    </row>
    <row r="9" spans="1:10" ht="22.5" customHeight="1" x14ac:dyDescent="0.25">
      <c r="A9" s="1075">
        <v>6</v>
      </c>
      <c r="B9" s="1622" t="s">
        <v>452</v>
      </c>
      <c r="C9" s="1552"/>
      <c r="D9" s="1552"/>
      <c r="E9" s="1552"/>
      <c r="F9" s="1552"/>
      <c r="G9" s="24"/>
      <c r="H9" s="24"/>
    </row>
    <row r="10" spans="1:10" ht="22.5" customHeight="1" x14ac:dyDescent="0.25">
      <c r="A10" s="1075">
        <v>7</v>
      </c>
      <c r="B10" s="1622" t="s">
        <v>2368</v>
      </c>
      <c r="C10" s="1552"/>
      <c r="D10" s="1552"/>
      <c r="E10" s="1552"/>
      <c r="F10" s="1552"/>
      <c r="G10" s="24"/>
      <c r="H10" s="24"/>
    </row>
    <row r="11" spans="1:10" ht="22.5" customHeight="1" x14ac:dyDescent="0.25">
      <c r="A11" s="1075">
        <v>8</v>
      </c>
      <c r="B11" s="1622" t="s">
        <v>783</v>
      </c>
      <c r="C11" s="1552"/>
      <c r="D11" s="1552"/>
      <c r="E11" s="1552"/>
      <c r="F11" s="1552"/>
      <c r="G11" s="24"/>
      <c r="H11" s="24"/>
    </row>
    <row r="12" spans="1:10" ht="22.5" customHeight="1" x14ac:dyDescent="0.25">
      <c r="A12" s="1075">
        <v>9</v>
      </c>
      <c r="B12" s="1622" t="s">
        <v>1485</v>
      </c>
      <c r="C12" s="1552"/>
      <c r="D12" s="1552"/>
      <c r="E12" s="1552"/>
      <c r="F12" s="1552"/>
      <c r="G12" s="24"/>
      <c r="H12" s="24"/>
    </row>
    <row r="13" spans="1:10" ht="22.5" customHeight="1" x14ac:dyDescent="0.25">
      <c r="A13" s="1075">
        <v>10</v>
      </c>
      <c r="B13" s="1622" t="s">
        <v>466</v>
      </c>
      <c r="C13" s="1552"/>
      <c r="D13" s="1552"/>
      <c r="E13" s="1552"/>
      <c r="F13" s="1552"/>
      <c r="G13" s="24"/>
      <c r="H13" s="24"/>
    </row>
    <row r="14" spans="1:10" ht="22.5" customHeight="1" x14ac:dyDescent="0.25">
      <c r="A14" s="1075">
        <v>11</v>
      </c>
      <c r="B14" s="1622" t="s">
        <v>822</v>
      </c>
      <c r="C14" s="1552"/>
      <c r="D14" s="1552"/>
      <c r="E14" s="1552"/>
      <c r="F14" s="1552"/>
      <c r="G14" s="24"/>
      <c r="H14" s="24"/>
      <c r="J14" s="218"/>
    </row>
    <row r="15" spans="1:10" ht="22.5" customHeight="1" x14ac:dyDescent="0.25">
      <c r="A15" s="1075">
        <v>12</v>
      </c>
      <c r="B15" s="1622" t="s">
        <v>507</v>
      </c>
      <c r="C15" s="1552"/>
      <c r="D15" s="1552"/>
      <c r="E15" s="1552"/>
      <c r="F15" s="1552"/>
      <c r="G15" s="24"/>
      <c r="H15" s="24"/>
    </row>
    <row r="16" spans="1:10" ht="21" x14ac:dyDescent="0.25">
      <c r="A16" s="1075">
        <v>13</v>
      </c>
      <c r="B16" s="1622" t="s">
        <v>538</v>
      </c>
      <c r="C16" s="1552"/>
      <c r="D16" s="1552"/>
      <c r="E16" s="1552"/>
      <c r="F16" s="1552"/>
      <c r="G16" s="24"/>
      <c r="H16" s="24"/>
    </row>
    <row r="17" spans="1:8" ht="22.5" customHeight="1" x14ac:dyDescent="0.25">
      <c r="A17" s="1075">
        <v>14</v>
      </c>
      <c r="B17" s="1622" t="s">
        <v>541</v>
      </c>
      <c r="C17" s="1552"/>
      <c r="D17" s="1552"/>
      <c r="E17" s="1552"/>
      <c r="F17" s="1552"/>
      <c r="G17" s="24"/>
      <c r="H17" s="24"/>
    </row>
    <row r="18" spans="1:8" ht="22.5" customHeight="1" x14ac:dyDescent="0.25">
      <c r="A18" s="1075">
        <v>15</v>
      </c>
      <c r="B18" s="1622" t="s">
        <v>550</v>
      </c>
      <c r="C18" s="1552"/>
      <c r="D18" s="1552"/>
      <c r="E18" s="1552"/>
      <c r="F18" s="1552"/>
      <c r="G18" s="24"/>
      <c r="H18" s="24"/>
    </row>
    <row r="19" spans="1:8" ht="22.5" customHeight="1" x14ac:dyDescent="0.25">
      <c r="A19" s="1075">
        <v>16</v>
      </c>
      <c r="B19" s="1622" t="s">
        <v>568</v>
      </c>
      <c r="C19" s="1552"/>
      <c r="D19" s="1552"/>
      <c r="E19" s="1552"/>
      <c r="F19" s="1552"/>
      <c r="G19" s="24"/>
      <c r="H19" s="24"/>
    </row>
    <row r="20" spans="1:8" ht="22.5" customHeight="1" x14ac:dyDescent="0.25">
      <c r="A20" s="1075">
        <v>17</v>
      </c>
      <c r="B20" s="1622" t="s">
        <v>578</v>
      </c>
      <c r="C20" s="1552"/>
      <c r="D20" s="1552"/>
      <c r="E20" s="1552"/>
      <c r="F20" s="1552"/>
      <c r="G20" s="24"/>
      <c r="H20" s="24"/>
    </row>
    <row r="21" spans="1:8" ht="22.5" customHeight="1" x14ac:dyDescent="0.25">
      <c r="A21" s="1075">
        <v>18</v>
      </c>
      <c r="B21" s="1622" t="s">
        <v>606</v>
      </c>
      <c r="C21" s="1552"/>
      <c r="D21" s="1552"/>
      <c r="E21" s="1552"/>
      <c r="F21" s="1552"/>
      <c r="G21" s="24"/>
      <c r="H21" s="24"/>
    </row>
    <row r="22" spans="1:8" ht="22.5" customHeight="1" x14ac:dyDescent="0.25">
      <c r="A22" s="1075">
        <v>19</v>
      </c>
      <c r="B22" s="1622" t="s">
        <v>1492</v>
      </c>
      <c r="C22" s="1552"/>
      <c r="D22" s="1552"/>
      <c r="E22" s="1552"/>
      <c r="F22" s="1552"/>
      <c r="G22" s="24"/>
      <c r="H22" s="24"/>
    </row>
    <row r="23" spans="1:8" ht="22.5" customHeight="1" x14ac:dyDescent="0.25">
      <c r="A23" s="1075">
        <v>20</v>
      </c>
      <c r="B23" s="1622" t="s">
        <v>1493</v>
      </c>
      <c r="C23" s="1552"/>
      <c r="D23" s="1552"/>
      <c r="E23" s="1552"/>
      <c r="F23" s="1552"/>
      <c r="G23" s="24"/>
      <c r="H23" s="24"/>
    </row>
    <row r="24" spans="1:8" ht="22.5" customHeight="1" x14ac:dyDescent="0.25">
      <c r="A24" s="1075">
        <v>21</v>
      </c>
      <c r="B24" s="1622" t="s">
        <v>1494</v>
      </c>
      <c r="C24" s="1552"/>
      <c r="D24" s="1552"/>
      <c r="E24" s="1552"/>
      <c r="F24" s="1552"/>
      <c r="G24" s="24"/>
      <c r="H24" s="24"/>
    </row>
    <row r="25" spans="1:8" ht="22.5" customHeight="1" x14ac:dyDescent="0.25">
      <c r="A25" s="1075">
        <v>22</v>
      </c>
      <c r="B25" s="1622" t="s">
        <v>1495</v>
      </c>
      <c r="C25" s="1552"/>
      <c r="D25" s="1552"/>
      <c r="E25" s="1552"/>
      <c r="F25" s="1552"/>
      <c r="G25" s="24"/>
      <c r="H25" s="24"/>
    </row>
    <row r="26" spans="1:8" ht="22.5" customHeight="1" x14ac:dyDescent="0.25">
      <c r="A26" s="1075">
        <v>23</v>
      </c>
      <c r="B26" s="1622" t="s">
        <v>631</v>
      </c>
      <c r="C26" s="1552"/>
      <c r="D26" s="1552"/>
      <c r="E26" s="1552"/>
      <c r="F26" s="1552"/>
      <c r="G26" s="24"/>
      <c r="H26" s="24"/>
    </row>
    <row r="27" spans="1:8" ht="22.5" customHeight="1" x14ac:dyDescent="0.25">
      <c r="A27" s="1075">
        <v>24</v>
      </c>
      <c r="B27" s="1622" t="s">
        <v>851</v>
      </c>
      <c r="C27" s="1552"/>
      <c r="D27" s="1552"/>
      <c r="E27" s="1552"/>
      <c r="F27" s="1552"/>
      <c r="G27" s="24"/>
      <c r="H27" s="24"/>
    </row>
    <row r="28" spans="1:8" ht="22.5" customHeight="1" x14ac:dyDescent="0.25">
      <c r="A28" s="1075">
        <v>25</v>
      </c>
      <c r="B28" s="1622" t="s">
        <v>645</v>
      </c>
      <c r="C28" s="1552"/>
      <c r="D28" s="1552"/>
      <c r="E28" s="1552"/>
      <c r="F28" s="1552"/>
      <c r="G28" s="24"/>
      <c r="H28" s="24"/>
    </row>
    <row r="29" spans="1:8" ht="22.5" customHeight="1" x14ac:dyDescent="0.25">
      <c r="A29" s="1075">
        <v>26</v>
      </c>
      <c r="B29" s="1622" t="s">
        <v>223</v>
      </c>
      <c r="C29" s="1552"/>
      <c r="D29" s="1552"/>
      <c r="E29" s="1552"/>
      <c r="F29" s="1552"/>
      <c r="G29" s="24"/>
      <c r="H29" s="24"/>
    </row>
    <row r="30" spans="1:8" ht="22.5" customHeight="1" x14ac:dyDescent="0.25">
      <c r="A30" s="1075">
        <v>27</v>
      </c>
      <c r="B30" s="1622" t="s">
        <v>1496</v>
      </c>
      <c r="C30" s="1552"/>
      <c r="D30" s="1552"/>
      <c r="E30" s="1552"/>
      <c r="F30" s="1552"/>
      <c r="G30" s="24"/>
      <c r="H30" s="24"/>
    </row>
    <row r="31" spans="1:8" ht="22.5" customHeight="1" x14ac:dyDescent="0.25">
      <c r="A31" s="1075">
        <v>28</v>
      </c>
      <c r="B31" s="1622" t="s">
        <v>224</v>
      </c>
      <c r="C31" s="1552"/>
      <c r="D31" s="1552"/>
      <c r="E31" s="1552"/>
      <c r="F31" s="1552"/>
      <c r="G31" s="24"/>
      <c r="H31" s="24"/>
    </row>
    <row r="32" spans="1:8" ht="22.5" customHeight="1" x14ac:dyDescent="0.25">
      <c r="A32" s="1075">
        <v>29</v>
      </c>
      <c r="B32" s="1622" t="s">
        <v>691</v>
      </c>
      <c r="C32" s="1552"/>
      <c r="D32" s="1552"/>
      <c r="E32" s="1552"/>
      <c r="F32" s="1552"/>
      <c r="G32" s="24"/>
      <c r="H32" s="24"/>
    </row>
    <row r="33" spans="1:8" ht="22.5" customHeight="1" x14ac:dyDescent="0.25">
      <c r="A33" s="1075">
        <v>30</v>
      </c>
      <c r="B33" s="1622" t="s">
        <v>390</v>
      </c>
      <c r="C33" s="1552"/>
      <c r="D33" s="1552"/>
      <c r="E33" s="1552"/>
      <c r="F33" s="1552"/>
      <c r="G33" s="24"/>
      <c r="H33" s="24"/>
    </row>
    <row r="34" spans="1:8" ht="38.25" customHeight="1" x14ac:dyDescent="0.25">
      <c r="A34" s="1075">
        <v>31</v>
      </c>
      <c r="B34" s="1622" t="s">
        <v>1521</v>
      </c>
      <c r="C34" s="1552"/>
      <c r="D34" s="1552"/>
      <c r="E34" s="1552"/>
      <c r="F34" s="1552"/>
      <c r="G34" s="24"/>
      <c r="H34" s="24"/>
    </row>
    <row r="35" spans="1:8" ht="22.5" customHeight="1" x14ac:dyDescent="0.25">
      <c r="A35" s="1075">
        <v>32</v>
      </c>
      <c r="B35" s="1622" t="s">
        <v>1488</v>
      </c>
      <c r="C35" s="1552"/>
      <c r="D35" s="1552"/>
      <c r="E35" s="1552"/>
      <c r="F35" s="1552"/>
      <c r="G35" s="24"/>
      <c r="H35" s="24"/>
    </row>
    <row r="36" spans="1:8" ht="22.5" customHeight="1" x14ac:dyDescent="0.25">
      <c r="A36" s="1075">
        <v>33</v>
      </c>
      <c r="B36" s="1622" t="s">
        <v>709</v>
      </c>
      <c r="C36" s="1552"/>
      <c r="D36" s="1552"/>
      <c r="E36" s="1552"/>
      <c r="F36" s="1552"/>
      <c r="G36" s="24"/>
      <c r="H36" s="24"/>
    </row>
    <row r="37" spans="1:8" ht="22.5" customHeight="1" x14ac:dyDescent="0.25">
      <c r="A37" s="1075">
        <v>34</v>
      </c>
      <c r="B37" s="1622" t="s">
        <v>757</v>
      </c>
      <c r="C37" s="1552"/>
      <c r="D37" s="1552"/>
      <c r="E37" s="1552"/>
      <c r="F37" s="1552"/>
      <c r="G37" s="24"/>
      <c r="H37" s="24"/>
    </row>
    <row r="38" spans="1:8" ht="22.5" customHeight="1" x14ac:dyDescent="0.25">
      <c r="A38" s="1075">
        <v>35</v>
      </c>
      <c r="B38" s="1622" t="s">
        <v>225</v>
      </c>
      <c r="C38" s="1552"/>
      <c r="D38" s="1552"/>
      <c r="E38" s="1552"/>
      <c r="F38" s="1552"/>
      <c r="G38" s="24"/>
      <c r="H38" s="24"/>
    </row>
    <row r="39" spans="1:8" ht="29.25" customHeight="1" x14ac:dyDescent="0.25">
      <c r="A39" s="2949" t="s">
        <v>133</v>
      </c>
      <c r="B39" s="2949"/>
      <c r="C39" s="1553"/>
      <c r="D39" s="1553"/>
      <c r="E39" s="1553"/>
      <c r="F39" s="1553"/>
      <c r="G39" s="24"/>
      <c r="H39" s="24"/>
    </row>
    <row r="40" spans="1:8" ht="21" x14ac:dyDescent="0.35">
      <c r="A40" s="2939" t="s">
        <v>2412</v>
      </c>
      <c r="B40" s="2939"/>
      <c r="C40" s="658"/>
      <c r="D40" s="659"/>
      <c r="E40" s="659"/>
      <c r="F40" s="659"/>
    </row>
    <row r="65" ht="1.5" customHeight="1" x14ac:dyDescent="0.25"/>
  </sheetData>
  <mergeCells count="7">
    <mergeCell ref="A40:B40"/>
    <mergeCell ref="C2:E2"/>
    <mergeCell ref="F2:H2"/>
    <mergeCell ref="A1:H1"/>
    <mergeCell ref="A2:A3"/>
    <mergeCell ref="B2:B3"/>
    <mergeCell ref="A39:B39"/>
  </mergeCells>
  <pageMargins left="0.70866141732283472" right="0.70866141732283472" top="0.74803149606299213" bottom="0.74803149606299213" header="0.31496062992125984" footer="0.31496062992125984"/>
  <pageSetup paperSize="9" scale="74" orientation="portrait" horizontalDpi="300" verticalDpi="300"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29E7EE1-2004-41D7-AECA-D869E935AF7C}">
  <sheetPr>
    <tabColor rgb="FFFFFF00"/>
  </sheetPr>
  <dimension ref="A1:J65"/>
  <sheetViews>
    <sheetView view="pageBreakPreview" zoomScale="80" zoomScaleNormal="85" zoomScaleSheetLayoutView="80" workbookViewId="0">
      <selection activeCell="C2" sqref="C2:E2"/>
    </sheetView>
  </sheetViews>
  <sheetFormatPr defaultRowHeight="15" x14ac:dyDescent="0.25"/>
  <cols>
    <col min="1" max="1" width="7.28515625" style="1631" customWidth="1"/>
    <col min="2" max="2" width="28.140625" customWidth="1"/>
    <col min="3" max="3" width="12" customWidth="1"/>
    <col min="4" max="4" width="11.5703125" customWidth="1"/>
    <col min="5" max="5" width="12.5703125" customWidth="1"/>
    <col min="6" max="6" width="13.42578125" customWidth="1"/>
    <col min="7" max="7" width="12.140625" customWidth="1"/>
    <col min="8" max="8" width="13.28515625" customWidth="1"/>
    <col min="10" max="10" width="31.7109375" customWidth="1"/>
  </cols>
  <sheetData>
    <row r="1" spans="1:10" ht="30" customHeight="1" x14ac:dyDescent="0.25">
      <c r="A1" s="2943" t="s">
        <v>2644</v>
      </c>
      <c r="B1" s="2944"/>
      <c r="C1" s="2944"/>
      <c r="D1" s="2944"/>
      <c r="E1" s="2944"/>
      <c r="F1" s="2944"/>
      <c r="G1" s="2944"/>
      <c r="H1" s="2944"/>
    </row>
    <row r="2" spans="1:10" ht="30" customHeight="1" x14ac:dyDescent="0.25">
      <c r="A2" s="2945" t="s">
        <v>156</v>
      </c>
      <c r="B2" s="2947" t="s">
        <v>1477</v>
      </c>
      <c r="C2" s="2940" t="s">
        <v>2641</v>
      </c>
      <c r="D2" s="2941"/>
      <c r="E2" s="2942"/>
      <c r="F2" s="2940" t="s">
        <v>2642</v>
      </c>
      <c r="G2" s="2941"/>
      <c r="H2" s="2942"/>
    </row>
    <row r="3" spans="1:10" ht="66.75" customHeight="1" x14ac:dyDescent="0.25">
      <c r="A3" s="2946"/>
      <c r="B3" s="2948"/>
      <c r="C3" s="1630" t="s">
        <v>1694</v>
      </c>
      <c r="D3" s="1630" t="s">
        <v>2335</v>
      </c>
      <c r="E3" s="1630" t="s">
        <v>2311</v>
      </c>
      <c r="F3" s="1630" t="s">
        <v>966</v>
      </c>
      <c r="G3" s="1630" t="s">
        <v>2285</v>
      </c>
      <c r="H3" s="1630" t="s">
        <v>2314</v>
      </c>
    </row>
    <row r="4" spans="1:10" ht="22.5" customHeight="1" x14ac:dyDescent="0.25">
      <c r="A4" s="1075">
        <v>1</v>
      </c>
      <c r="B4" s="1622" t="s">
        <v>221</v>
      </c>
      <c r="C4" s="1552"/>
      <c r="D4" s="1552"/>
      <c r="E4" s="1552"/>
      <c r="F4" s="1552"/>
      <c r="G4" s="24"/>
      <c r="H4" s="24"/>
    </row>
    <row r="5" spans="1:10" ht="22.5" customHeight="1" x14ac:dyDescent="0.25">
      <c r="A5" s="1075">
        <v>2</v>
      </c>
      <c r="B5" s="1622" t="s">
        <v>220</v>
      </c>
      <c r="C5" s="1552"/>
      <c r="D5" s="1552"/>
      <c r="E5" s="1552"/>
      <c r="F5" s="1552"/>
      <c r="G5" s="24"/>
      <c r="H5" s="24"/>
    </row>
    <row r="6" spans="1:10" ht="22.5" customHeight="1" x14ac:dyDescent="0.25">
      <c r="A6" s="1075">
        <v>3</v>
      </c>
      <c r="B6" s="1622" t="s">
        <v>331</v>
      </c>
      <c r="C6" s="1552"/>
      <c r="D6" s="1552"/>
      <c r="E6" s="1552"/>
      <c r="F6" s="1552"/>
      <c r="G6" s="24"/>
      <c r="H6" s="24"/>
    </row>
    <row r="7" spans="1:10" ht="22.5" customHeight="1" x14ac:dyDescent="0.25">
      <c r="A7" s="1075">
        <v>4</v>
      </c>
      <c r="B7" s="1622" t="s">
        <v>426</v>
      </c>
      <c r="C7" s="1552"/>
      <c r="D7" s="1552"/>
      <c r="E7" s="1552"/>
      <c r="F7" s="1552"/>
      <c r="G7" s="24"/>
      <c r="H7" s="24"/>
    </row>
    <row r="8" spans="1:10" ht="22.5" customHeight="1" x14ac:dyDescent="0.25">
      <c r="A8" s="1075">
        <v>5</v>
      </c>
      <c r="B8" s="1622" t="s">
        <v>1484</v>
      </c>
      <c r="C8" s="1552"/>
      <c r="D8" s="1552"/>
      <c r="E8" s="1552"/>
      <c r="F8" s="1552"/>
      <c r="G8" s="24"/>
      <c r="H8" s="24"/>
    </row>
    <row r="9" spans="1:10" ht="22.5" customHeight="1" x14ac:dyDescent="0.25">
      <c r="A9" s="1075">
        <v>6</v>
      </c>
      <c r="B9" s="1622" t="s">
        <v>452</v>
      </c>
      <c r="C9" s="1552"/>
      <c r="D9" s="1552"/>
      <c r="E9" s="1552"/>
      <c r="F9" s="1552"/>
      <c r="G9" s="24"/>
      <c r="H9" s="24"/>
    </row>
    <row r="10" spans="1:10" ht="21" customHeight="1" x14ac:dyDescent="0.25">
      <c r="A10" s="1075">
        <v>7</v>
      </c>
      <c r="B10" s="1622" t="s">
        <v>2368</v>
      </c>
      <c r="C10" s="1552"/>
      <c r="D10" s="1552"/>
      <c r="E10" s="1552"/>
      <c r="F10" s="1552"/>
      <c r="G10" s="24"/>
      <c r="H10" s="24"/>
    </row>
    <row r="11" spans="1:10" ht="22.5" customHeight="1" x14ac:dyDescent="0.25">
      <c r="A11" s="1075">
        <v>8</v>
      </c>
      <c r="B11" s="1622" t="s">
        <v>783</v>
      </c>
      <c r="C11" s="1552"/>
      <c r="D11" s="1552"/>
      <c r="E11" s="1552"/>
      <c r="F11" s="1552"/>
      <c r="G11" s="24"/>
      <c r="H11" s="24"/>
    </row>
    <row r="12" spans="1:10" ht="22.5" customHeight="1" x14ac:dyDescent="0.25">
      <c r="A12" s="1075">
        <v>9</v>
      </c>
      <c r="B12" s="1622" t="s">
        <v>1485</v>
      </c>
      <c r="C12" s="1552"/>
      <c r="D12" s="1552"/>
      <c r="E12" s="1552"/>
      <c r="F12" s="1552"/>
      <c r="G12" s="24"/>
      <c r="H12" s="24"/>
    </row>
    <row r="13" spans="1:10" ht="22.5" customHeight="1" x14ac:dyDescent="0.25">
      <c r="A13" s="1075">
        <v>10</v>
      </c>
      <c r="B13" s="1622" t="s">
        <v>466</v>
      </c>
      <c r="C13" s="1552"/>
      <c r="D13" s="1552"/>
      <c r="E13" s="1552"/>
      <c r="F13" s="1552"/>
      <c r="G13" s="24"/>
      <c r="H13" s="24"/>
    </row>
    <row r="14" spans="1:10" ht="22.5" customHeight="1" x14ac:dyDescent="0.25">
      <c r="A14" s="1075">
        <v>11</v>
      </c>
      <c r="B14" s="1622" t="s">
        <v>822</v>
      </c>
      <c r="C14" s="1552"/>
      <c r="D14" s="1552"/>
      <c r="E14" s="1552"/>
      <c r="F14" s="1552"/>
      <c r="G14" s="24"/>
      <c r="H14" s="24"/>
      <c r="J14" s="218"/>
    </row>
    <row r="15" spans="1:10" ht="22.5" customHeight="1" x14ac:dyDescent="0.25">
      <c r="A15" s="1075">
        <v>12</v>
      </c>
      <c r="B15" s="1622" t="s">
        <v>507</v>
      </c>
      <c r="C15" s="1552"/>
      <c r="D15" s="1552"/>
      <c r="E15" s="1552"/>
      <c r="F15" s="1552"/>
      <c r="G15" s="24"/>
      <c r="H15" s="24"/>
    </row>
    <row r="16" spans="1:10" ht="21" x14ac:dyDescent="0.25">
      <c r="A16" s="1075">
        <v>13</v>
      </c>
      <c r="B16" s="1622" t="s">
        <v>538</v>
      </c>
      <c r="C16" s="1552"/>
      <c r="D16" s="1552"/>
      <c r="E16" s="1552"/>
      <c r="F16" s="1552"/>
      <c r="G16" s="24"/>
      <c r="H16" s="24"/>
    </row>
    <row r="17" spans="1:8" ht="22.5" customHeight="1" x14ac:dyDescent="0.25">
      <c r="A17" s="1075">
        <v>14</v>
      </c>
      <c r="B17" s="1622" t="s">
        <v>541</v>
      </c>
      <c r="C17" s="1552"/>
      <c r="D17" s="1552"/>
      <c r="E17" s="1552"/>
      <c r="F17" s="1552"/>
      <c r="G17" s="24"/>
      <c r="H17" s="24"/>
    </row>
    <row r="18" spans="1:8" ht="22.5" customHeight="1" x14ac:dyDescent="0.25">
      <c r="A18" s="1075">
        <v>15</v>
      </c>
      <c r="B18" s="1622" t="s">
        <v>550</v>
      </c>
      <c r="C18" s="1552"/>
      <c r="D18" s="1552"/>
      <c r="E18" s="1552"/>
      <c r="F18" s="1552"/>
      <c r="G18" s="24"/>
      <c r="H18" s="24"/>
    </row>
    <row r="19" spans="1:8" ht="22.5" customHeight="1" x14ac:dyDescent="0.25">
      <c r="A19" s="1075">
        <v>16</v>
      </c>
      <c r="B19" s="1622" t="s">
        <v>568</v>
      </c>
      <c r="C19" s="1552"/>
      <c r="D19" s="1552"/>
      <c r="E19" s="1552"/>
      <c r="F19" s="1552"/>
      <c r="G19" s="24"/>
      <c r="H19" s="24"/>
    </row>
    <row r="20" spans="1:8" ht="22.5" customHeight="1" x14ac:dyDescent="0.25">
      <c r="A20" s="1075">
        <v>17</v>
      </c>
      <c r="B20" s="1622" t="s">
        <v>578</v>
      </c>
      <c r="C20" s="1552"/>
      <c r="D20" s="1552"/>
      <c r="E20" s="1552"/>
      <c r="F20" s="1552"/>
      <c r="G20" s="24"/>
      <c r="H20" s="24"/>
    </row>
    <row r="21" spans="1:8" ht="22.5" customHeight="1" x14ac:dyDescent="0.25">
      <c r="A21" s="1075">
        <v>18</v>
      </c>
      <c r="B21" s="1622" t="s">
        <v>606</v>
      </c>
      <c r="C21" s="1552"/>
      <c r="D21" s="1552"/>
      <c r="E21" s="1552"/>
      <c r="F21" s="1552"/>
      <c r="G21" s="24"/>
      <c r="H21" s="24"/>
    </row>
    <row r="22" spans="1:8" ht="22.5" customHeight="1" x14ac:dyDescent="0.25">
      <c r="A22" s="1075">
        <v>19</v>
      </c>
      <c r="B22" s="1622" t="s">
        <v>1492</v>
      </c>
      <c r="C22" s="1552"/>
      <c r="D22" s="1552"/>
      <c r="E22" s="1552"/>
      <c r="F22" s="1552"/>
      <c r="G22" s="24"/>
      <c r="H22" s="24"/>
    </row>
    <row r="23" spans="1:8" ht="22.5" customHeight="1" x14ac:dyDescent="0.25">
      <c r="A23" s="1075">
        <v>20</v>
      </c>
      <c r="B23" s="1622" t="s">
        <v>1493</v>
      </c>
      <c r="C23" s="1552"/>
      <c r="D23" s="1552"/>
      <c r="E23" s="1552"/>
      <c r="F23" s="1552"/>
      <c r="G23" s="24"/>
      <c r="H23" s="24"/>
    </row>
    <row r="24" spans="1:8" ht="22.5" customHeight="1" x14ac:dyDescent="0.25">
      <c r="A24" s="1075">
        <v>21</v>
      </c>
      <c r="B24" s="1622" t="s">
        <v>1494</v>
      </c>
      <c r="C24" s="1552"/>
      <c r="D24" s="1552"/>
      <c r="E24" s="1552"/>
      <c r="F24" s="1552"/>
      <c r="G24" s="24"/>
      <c r="H24" s="24"/>
    </row>
    <row r="25" spans="1:8" ht="22.5" customHeight="1" x14ac:dyDescent="0.25">
      <c r="A25" s="1075">
        <v>22</v>
      </c>
      <c r="B25" s="1622" t="s">
        <v>1495</v>
      </c>
      <c r="C25" s="1552"/>
      <c r="D25" s="1552"/>
      <c r="E25" s="1552"/>
      <c r="F25" s="1552"/>
      <c r="G25" s="24"/>
      <c r="H25" s="24"/>
    </row>
    <row r="26" spans="1:8" ht="22.5" customHeight="1" x14ac:dyDescent="0.25">
      <c r="A26" s="1075">
        <v>23</v>
      </c>
      <c r="B26" s="1622" t="s">
        <v>631</v>
      </c>
      <c r="C26" s="1552"/>
      <c r="D26" s="1552"/>
      <c r="E26" s="1552"/>
      <c r="F26" s="1552"/>
      <c r="G26" s="24"/>
      <c r="H26" s="24"/>
    </row>
    <row r="27" spans="1:8" ht="22.5" customHeight="1" x14ac:dyDescent="0.25">
      <c r="A27" s="1075">
        <v>24</v>
      </c>
      <c r="B27" s="1622" t="s">
        <v>851</v>
      </c>
      <c r="C27" s="1552"/>
      <c r="D27" s="1552"/>
      <c r="E27" s="1552"/>
      <c r="F27" s="1552"/>
      <c r="G27" s="24"/>
      <c r="H27" s="24"/>
    </row>
    <row r="28" spans="1:8" ht="22.5" customHeight="1" x14ac:dyDescent="0.25">
      <c r="A28" s="1075">
        <v>25</v>
      </c>
      <c r="B28" s="1622" t="s">
        <v>645</v>
      </c>
      <c r="C28" s="1552"/>
      <c r="D28" s="1552"/>
      <c r="E28" s="1552"/>
      <c r="F28" s="1552"/>
      <c r="G28" s="24"/>
      <c r="H28" s="24"/>
    </row>
    <row r="29" spans="1:8" ht="22.5" customHeight="1" x14ac:dyDescent="0.25">
      <c r="A29" s="1075">
        <v>26</v>
      </c>
      <c r="B29" s="1622" t="s">
        <v>223</v>
      </c>
      <c r="C29" s="1552"/>
      <c r="D29" s="1552"/>
      <c r="E29" s="1552"/>
      <c r="F29" s="1552"/>
      <c r="G29" s="24"/>
      <c r="H29" s="24"/>
    </row>
    <row r="30" spans="1:8" ht="22.5" customHeight="1" x14ac:dyDescent="0.25">
      <c r="A30" s="1075">
        <v>27</v>
      </c>
      <c r="B30" s="1622" t="s">
        <v>1496</v>
      </c>
      <c r="C30" s="1552"/>
      <c r="D30" s="1552"/>
      <c r="E30" s="1552"/>
      <c r="F30" s="1552"/>
      <c r="G30" s="24"/>
      <c r="H30" s="24"/>
    </row>
    <row r="31" spans="1:8" ht="22.5" customHeight="1" x14ac:dyDescent="0.25">
      <c r="A31" s="1075">
        <v>28</v>
      </c>
      <c r="B31" s="1622" t="s">
        <v>224</v>
      </c>
      <c r="C31" s="1552"/>
      <c r="D31" s="1552"/>
      <c r="E31" s="1552"/>
      <c r="F31" s="1552"/>
      <c r="G31" s="24"/>
      <c r="H31" s="24"/>
    </row>
    <row r="32" spans="1:8" ht="22.5" customHeight="1" x14ac:dyDescent="0.25">
      <c r="A32" s="1075">
        <v>29</v>
      </c>
      <c r="B32" s="1622" t="s">
        <v>691</v>
      </c>
      <c r="C32" s="1552"/>
      <c r="D32" s="1552"/>
      <c r="E32" s="1552"/>
      <c r="F32" s="1552"/>
      <c r="G32" s="24"/>
      <c r="H32" s="24"/>
    </row>
    <row r="33" spans="1:8" ht="22.5" customHeight="1" x14ac:dyDescent="0.25">
      <c r="A33" s="1075">
        <v>30</v>
      </c>
      <c r="B33" s="1622" t="s">
        <v>390</v>
      </c>
      <c r="C33" s="1552"/>
      <c r="D33" s="1552"/>
      <c r="E33" s="1552"/>
      <c r="F33" s="1552"/>
      <c r="G33" s="24"/>
      <c r="H33" s="24"/>
    </row>
    <row r="34" spans="1:8" ht="14.25" customHeight="1" x14ac:dyDescent="0.25">
      <c r="A34" s="1075">
        <v>31</v>
      </c>
      <c r="B34" s="1622" t="s">
        <v>1521</v>
      </c>
      <c r="C34" s="1552"/>
      <c r="D34" s="1552"/>
      <c r="E34" s="1552"/>
      <c r="F34" s="1552"/>
      <c r="G34" s="24"/>
      <c r="H34" s="24"/>
    </row>
    <row r="35" spans="1:8" ht="22.5" customHeight="1" x14ac:dyDescent="0.25">
      <c r="A35" s="1075">
        <v>32</v>
      </c>
      <c r="B35" s="1622" t="s">
        <v>1488</v>
      </c>
      <c r="C35" s="1552"/>
      <c r="D35" s="1552"/>
      <c r="E35" s="1552"/>
      <c r="F35" s="1552"/>
      <c r="G35" s="24"/>
      <c r="H35" s="24"/>
    </row>
    <row r="36" spans="1:8" ht="22.5" customHeight="1" x14ac:dyDescent="0.25">
      <c r="A36" s="1075">
        <v>33</v>
      </c>
      <c r="B36" s="1622" t="s">
        <v>709</v>
      </c>
      <c r="C36" s="1552"/>
      <c r="D36" s="1552"/>
      <c r="E36" s="1552"/>
      <c r="F36" s="1552"/>
      <c r="G36" s="24"/>
      <c r="H36" s="24"/>
    </row>
    <row r="37" spans="1:8" ht="22.5" customHeight="1" x14ac:dyDescent="0.25">
      <c r="A37" s="1075">
        <v>34</v>
      </c>
      <c r="B37" s="1622" t="s">
        <v>757</v>
      </c>
      <c r="C37" s="1552"/>
      <c r="D37" s="1552"/>
      <c r="E37" s="1552"/>
      <c r="F37" s="1552"/>
      <c r="G37" s="24"/>
      <c r="H37" s="24"/>
    </row>
    <row r="38" spans="1:8" ht="22.5" customHeight="1" x14ac:dyDescent="0.25">
      <c r="A38" s="1075">
        <v>35</v>
      </c>
      <c r="B38" s="1622" t="s">
        <v>225</v>
      </c>
      <c r="C38" s="1552"/>
      <c r="D38" s="1552"/>
      <c r="E38" s="1552"/>
      <c r="F38" s="1552"/>
      <c r="G38" s="24"/>
      <c r="H38" s="24"/>
    </row>
    <row r="39" spans="1:8" ht="29.25" customHeight="1" x14ac:dyDescent="0.25">
      <c r="A39" s="2949" t="s">
        <v>133</v>
      </c>
      <c r="B39" s="2949"/>
      <c r="C39" s="1553"/>
      <c r="D39" s="1553"/>
      <c r="E39" s="1553"/>
      <c r="F39" s="1553"/>
      <c r="G39" s="24"/>
      <c r="H39" s="24"/>
    </row>
    <row r="40" spans="1:8" ht="21" x14ac:dyDescent="0.35">
      <c r="A40" s="2939" t="s">
        <v>2412</v>
      </c>
      <c r="B40" s="2939"/>
      <c r="C40" s="658"/>
      <c r="D40" s="659"/>
      <c r="E40" s="659"/>
      <c r="F40" s="659"/>
    </row>
    <row r="65" ht="1.5" customHeight="1" x14ac:dyDescent="0.25"/>
  </sheetData>
  <mergeCells count="7">
    <mergeCell ref="A40:B40"/>
    <mergeCell ref="A1:H1"/>
    <mergeCell ref="A2:A3"/>
    <mergeCell ref="B2:B3"/>
    <mergeCell ref="C2:E2"/>
    <mergeCell ref="F2:H2"/>
    <mergeCell ref="A39:B39"/>
  </mergeCells>
  <pageMargins left="0.7" right="0.7" top="0.75" bottom="0.75" header="0.3" footer="0.3"/>
  <pageSetup paperSize="9" scale="69" orientation="portrait" horizontalDpi="300" verticalDpi="300"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750DFB-1BD1-420C-AB4B-45723FB4E47B}">
  <sheetPr>
    <tabColor theme="0"/>
  </sheetPr>
  <dimension ref="A1:L65"/>
  <sheetViews>
    <sheetView view="pageLayout" topLeftCell="A17" zoomScale="70" zoomScaleNormal="85" zoomScaleSheetLayoutView="80" zoomScalePageLayoutView="70" workbookViewId="0">
      <selection activeCell="B81" sqref="B81"/>
    </sheetView>
  </sheetViews>
  <sheetFormatPr defaultRowHeight="15" x14ac:dyDescent="0.25"/>
  <cols>
    <col min="1" max="1" width="7.28515625" style="1631" customWidth="1"/>
    <col min="2" max="2" width="23.5703125" customWidth="1"/>
    <col min="3" max="3" width="8.5703125" customWidth="1"/>
    <col min="4" max="4" width="12.7109375" customWidth="1"/>
    <col min="5" max="5" width="8.7109375" customWidth="1"/>
    <col min="6" max="6" width="10.85546875" customWidth="1"/>
    <col min="7" max="7" width="7.140625" customWidth="1"/>
    <col min="8" max="8" width="13.28515625" customWidth="1"/>
    <col min="12" max="12" width="31.7109375" customWidth="1"/>
  </cols>
  <sheetData>
    <row r="1" spans="1:12" ht="23.25" customHeight="1" x14ac:dyDescent="0.25">
      <c r="A1" s="2756" t="s">
        <v>2785</v>
      </c>
      <c r="B1" s="2756"/>
      <c r="C1" s="2756"/>
      <c r="D1" s="2756"/>
      <c r="E1" s="2756"/>
      <c r="F1" s="2756"/>
      <c r="G1" s="2756"/>
      <c r="H1" s="2756"/>
      <c r="I1" s="2756"/>
      <c r="J1" s="2756"/>
    </row>
    <row r="2" spans="1:12" ht="16.5" customHeight="1" x14ac:dyDescent="0.25">
      <c r="A2" s="2951" t="s">
        <v>2784</v>
      </c>
      <c r="B2" s="2952"/>
      <c r="C2" s="2952"/>
      <c r="D2" s="2952"/>
      <c r="E2" s="2952"/>
      <c r="F2" s="2952"/>
      <c r="G2" s="2952"/>
      <c r="H2" s="2952"/>
      <c r="I2" s="2952"/>
      <c r="J2" s="2952"/>
    </row>
    <row r="3" spans="1:12" ht="19.5" customHeight="1" x14ac:dyDescent="0.25">
      <c r="A3" s="2954" t="s">
        <v>156</v>
      </c>
      <c r="B3" s="2956" t="s">
        <v>1477</v>
      </c>
      <c r="C3" s="2757" t="s">
        <v>2311</v>
      </c>
      <c r="D3" s="2958"/>
      <c r="E3" s="2958"/>
      <c r="F3" s="2758"/>
      <c r="G3" s="2756" t="s">
        <v>2557</v>
      </c>
      <c r="H3" s="2756"/>
      <c r="I3" s="2756"/>
      <c r="J3" s="2756"/>
    </row>
    <row r="4" spans="1:12" ht="66.75" customHeight="1" x14ac:dyDescent="0.25">
      <c r="A4" s="2955"/>
      <c r="B4" s="2957"/>
      <c r="C4" s="2305" t="s">
        <v>813</v>
      </c>
      <c r="D4" s="2305" t="s">
        <v>2590</v>
      </c>
      <c r="E4" s="2305" t="s">
        <v>2591</v>
      </c>
      <c r="F4" s="2305" t="s">
        <v>2592</v>
      </c>
      <c r="G4" s="2305" t="s">
        <v>813</v>
      </c>
      <c r="H4" s="2305" t="s">
        <v>2590</v>
      </c>
      <c r="I4" s="2305" t="s">
        <v>2591</v>
      </c>
      <c r="J4" s="2305" t="s">
        <v>2592</v>
      </c>
    </row>
    <row r="5" spans="1:12" ht="22.5" customHeight="1" x14ac:dyDescent="0.25">
      <c r="A5" s="1206">
        <v>1</v>
      </c>
      <c r="B5" s="2259" t="s">
        <v>221</v>
      </c>
      <c r="C5" s="2306">
        <v>233</v>
      </c>
      <c r="D5" s="2306">
        <v>285425</v>
      </c>
      <c r="E5" s="2306">
        <v>505</v>
      </c>
      <c r="F5" s="2306">
        <v>57</v>
      </c>
      <c r="G5" s="2307">
        <v>242</v>
      </c>
      <c r="H5" s="2307">
        <v>296440</v>
      </c>
      <c r="I5" s="2307">
        <v>601</v>
      </c>
      <c r="J5" s="2307">
        <v>78</v>
      </c>
    </row>
    <row r="6" spans="1:12" ht="22.5" customHeight="1" x14ac:dyDescent="0.25">
      <c r="A6" s="1206">
        <v>2</v>
      </c>
      <c r="B6" s="2259" t="s">
        <v>220</v>
      </c>
      <c r="C6" s="2306">
        <v>0</v>
      </c>
      <c r="D6" s="2306">
        <v>0</v>
      </c>
      <c r="E6" s="2306">
        <v>0</v>
      </c>
      <c r="F6" s="2306">
        <v>0</v>
      </c>
      <c r="G6" s="2307">
        <v>0</v>
      </c>
      <c r="H6" s="2307">
        <v>0</v>
      </c>
      <c r="I6" s="2307">
        <v>0</v>
      </c>
      <c r="J6" s="2307">
        <v>0</v>
      </c>
    </row>
    <row r="7" spans="1:12" ht="22.5" customHeight="1" x14ac:dyDescent="0.25">
      <c r="A7" s="1206">
        <v>3</v>
      </c>
      <c r="B7" s="2259" t="s">
        <v>331</v>
      </c>
      <c r="C7" s="2306">
        <v>35</v>
      </c>
      <c r="D7" s="2306">
        <v>67830</v>
      </c>
      <c r="E7" s="2306">
        <v>1446</v>
      </c>
      <c r="F7" s="2306">
        <v>472</v>
      </c>
      <c r="G7" s="2307">
        <v>45</v>
      </c>
      <c r="H7" s="2307">
        <v>74316</v>
      </c>
      <c r="I7" s="2307">
        <v>1520</v>
      </c>
      <c r="J7" s="2307">
        <v>487</v>
      </c>
    </row>
    <row r="8" spans="1:12" ht="22.5" customHeight="1" x14ac:dyDescent="0.25">
      <c r="A8" s="1206">
        <v>4</v>
      </c>
      <c r="B8" s="2259" t="s">
        <v>426</v>
      </c>
      <c r="C8" s="2306">
        <v>219</v>
      </c>
      <c r="D8" s="2306">
        <v>251955</v>
      </c>
      <c r="E8" s="2306">
        <v>217</v>
      </c>
      <c r="F8" s="2306">
        <v>37</v>
      </c>
      <c r="G8" s="2307">
        <v>250</v>
      </c>
      <c r="H8" s="2307">
        <v>320806</v>
      </c>
      <c r="I8" s="2307">
        <v>322</v>
      </c>
      <c r="J8" s="2307">
        <v>55</v>
      </c>
    </row>
    <row r="9" spans="1:12" ht="22.5" customHeight="1" x14ac:dyDescent="0.25">
      <c r="A9" s="1206">
        <v>5</v>
      </c>
      <c r="B9" s="2259" t="s">
        <v>1484</v>
      </c>
      <c r="C9" s="2306">
        <v>10</v>
      </c>
      <c r="D9" s="2306">
        <v>30316</v>
      </c>
      <c r="E9" s="2306">
        <v>206</v>
      </c>
      <c r="F9" s="2306">
        <v>58</v>
      </c>
      <c r="G9" s="2307">
        <v>10</v>
      </c>
      <c r="H9" s="2307">
        <v>33295</v>
      </c>
      <c r="I9" s="2307">
        <v>265</v>
      </c>
      <c r="J9" s="2307">
        <v>95</v>
      </c>
    </row>
    <row r="10" spans="1:12" ht="22.5" customHeight="1" x14ac:dyDescent="0.25">
      <c r="A10" s="1206">
        <v>6</v>
      </c>
      <c r="B10" s="2259" t="s">
        <v>452</v>
      </c>
      <c r="C10" s="2306">
        <v>55</v>
      </c>
      <c r="D10" s="2306">
        <v>11002</v>
      </c>
      <c r="E10" s="2306">
        <v>0</v>
      </c>
      <c r="F10" s="2306">
        <v>1</v>
      </c>
      <c r="G10" s="2307">
        <v>72</v>
      </c>
      <c r="H10" s="2307">
        <v>19796</v>
      </c>
      <c r="I10" s="2307">
        <v>0</v>
      </c>
      <c r="J10" s="2307">
        <v>1</v>
      </c>
    </row>
    <row r="11" spans="1:12" ht="24" customHeight="1" x14ac:dyDescent="0.25">
      <c r="A11" s="1206">
        <v>7</v>
      </c>
      <c r="B11" s="2259" t="s">
        <v>2998</v>
      </c>
      <c r="C11" s="2306">
        <v>12</v>
      </c>
      <c r="D11" s="2306">
        <v>19034</v>
      </c>
      <c r="E11" s="2306">
        <v>161</v>
      </c>
      <c r="F11" s="2306">
        <v>127</v>
      </c>
      <c r="G11" s="2307">
        <v>12</v>
      </c>
      <c r="H11" s="2307">
        <v>20139</v>
      </c>
      <c r="I11" s="2307">
        <v>176</v>
      </c>
      <c r="J11" s="2307">
        <v>135</v>
      </c>
    </row>
    <row r="12" spans="1:12" ht="22.5" customHeight="1" x14ac:dyDescent="0.25">
      <c r="A12" s="1206">
        <v>8</v>
      </c>
      <c r="B12" s="2259" t="s">
        <v>1485</v>
      </c>
      <c r="C12" s="2306">
        <v>508</v>
      </c>
      <c r="D12" s="2306">
        <v>1723294</v>
      </c>
      <c r="E12" s="2306">
        <v>4568</v>
      </c>
      <c r="F12" s="2306">
        <v>1921</v>
      </c>
      <c r="G12" s="2307">
        <v>457</v>
      </c>
      <c r="H12" s="2307">
        <v>1929512</v>
      </c>
      <c r="I12" s="2307">
        <v>4827</v>
      </c>
      <c r="J12" s="2307">
        <v>1879</v>
      </c>
    </row>
    <row r="13" spans="1:12" ht="22.5" customHeight="1" x14ac:dyDescent="0.25">
      <c r="A13" s="1206">
        <v>9</v>
      </c>
      <c r="B13" s="2259" t="s">
        <v>466</v>
      </c>
      <c r="C13" s="2306">
        <v>14</v>
      </c>
      <c r="D13" s="2306">
        <v>18865</v>
      </c>
      <c r="E13" s="2306">
        <v>46</v>
      </c>
      <c r="F13" s="2306">
        <v>54</v>
      </c>
      <c r="G13" s="2307">
        <v>15</v>
      </c>
      <c r="H13" s="2307">
        <v>20085</v>
      </c>
      <c r="I13" s="2307">
        <v>70</v>
      </c>
      <c r="J13" s="2307">
        <v>60</v>
      </c>
    </row>
    <row r="14" spans="1:12" ht="22.5" customHeight="1" x14ac:dyDescent="0.25">
      <c r="A14" s="1206">
        <v>10</v>
      </c>
      <c r="B14" s="2259" t="s">
        <v>822</v>
      </c>
      <c r="C14" s="2306">
        <v>1055</v>
      </c>
      <c r="D14" s="2306">
        <v>3579961</v>
      </c>
      <c r="E14" s="2306">
        <v>24231</v>
      </c>
      <c r="F14" s="2306">
        <v>5852</v>
      </c>
      <c r="G14" s="2307">
        <v>1102</v>
      </c>
      <c r="H14" s="2307">
        <v>3844934</v>
      </c>
      <c r="I14" s="2307">
        <v>24841</v>
      </c>
      <c r="J14" s="2307">
        <v>5939</v>
      </c>
    </row>
    <row r="15" spans="1:12" ht="22.5" customHeight="1" x14ac:dyDescent="0.25">
      <c r="A15" s="1206">
        <v>11</v>
      </c>
      <c r="B15" s="2259" t="s">
        <v>507</v>
      </c>
      <c r="C15" s="2306">
        <v>542</v>
      </c>
      <c r="D15" s="2306">
        <v>499489</v>
      </c>
      <c r="E15" s="2306">
        <v>1542</v>
      </c>
      <c r="F15" s="2306">
        <v>2839</v>
      </c>
      <c r="G15" s="2307">
        <v>603</v>
      </c>
      <c r="H15" s="2307">
        <v>584455</v>
      </c>
      <c r="I15" s="2307">
        <v>1891</v>
      </c>
      <c r="J15" s="2307">
        <v>3033</v>
      </c>
      <c r="L15" s="218"/>
    </row>
    <row r="16" spans="1:12" ht="22.5" customHeight="1" x14ac:dyDescent="0.25">
      <c r="A16" s="1206">
        <v>12</v>
      </c>
      <c r="B16" s="2259" t="s">
        <v>538</v>
      </c>
      <c r="C16" s="2306">
        <v>22</v>
      </c>
      <c r="D16" s="2306">
        <v>9926</v>
      </c>
      <c r="E16" s="2306">
        <v>43</v>
      </c>
      <c r="F16" s="2306">
        <v>6</v>
      </c>
      <c r="G16" s="2307">
        <v>26</v>
      </c>
      <c r="H16" s="2307">
        <v>13983</v>
      </c>
      <c r="I16" s="2307">
        <v>64</v>
      </c>
      <c r="J16" s="2307">
        <v>17</v>
      </c>
    </row>
    <row r="17" spans="1:10" ht="16.5" x14ac:dyDescent="0.25">
      <c r="A17" s="1206">
        <v>13</v>
      </c>
      <c r="B17" s="2259" t="s">
        <v>541</v>
      </c>
      <c r="C17" s="2306">
        <v>131</v>
      </c>
      <c r="D17" s="2306">
        <v>175143</v>
      </c>
      <c r="E17" s="2306">
        <v>89</v>
      </c>
      <c r="F17" s="2306">
        <v>18</v>
      </c>
      <c r="G17" s="2307">
        <v>156</v>
      </c>
      <c r="H17" s="2307">
        <v>194116</v>
      </c>
      <c r="I17" s="2307">
        <v>257</v>
      </c>
      <c r="J17" s="2307">
        <v>34</v>
      </c>
    </row>
    <row r="18" spans="1:10" ht="22.5" customHeight="1" x14ac:dyDescent="0.25">
      <c r="A18" s="1206">
        <v>14</v>
      </c>
      <c r="B18" s="2259" t="s">
        <v>550</v>
      </c>
      <c r="C18" s="2306">
        <v>455</v>
      </c>
      <c r="D18" s="2306">
        <v>501910</v>
      </c>
      <c r="E18" s="2306">
        <v>647</v>
      </c>
      <c r="F18" s="2306">
        <v>408</v>
      </c>
      <c r="G18" s="2307">
        <v>516</v>
      </c>
      <c r="H18" s="2307">
        <v>591851</v>
      </c>
      <c r="I18" s="2307">
        <v>863</v>
      </c>
      <c r="J18" s="2307">
        <v>491</v>
      </c>
    </row>
    <row r="19" spans="1:10" ht="22.5" customHeight="1" x14ac:dyDescent="0.25">
      <c r="A19" s="1206">
        <v>15</v>
      </c>
      <c r="B19" s="2259" t="s">
        <v>568</v>
      </c>
      <c r="C19" s="2306">
        <v>222</v>
      </c>
      <c r="D19" s="2306">
        <v>137524</v>
      </c>
      <c r="E19" s="2306">
        <v>139</v>
      </c>
      <c r="F19" s="2306">
        <v>36</v>
      </c>
      <c r="G19" s="2307">
        <v>251</v>
      </c>
      <c r="H19" s="2307">
        <v>155395</v>
      </c>
      <c r="I19" s="2307">
        <v>301</v>
      </c>
      <c r="J19" s="2307">
        <v>43</v>
      </c>
    </row>
    <row r="20" spans="1:10" ht="22.5" customHeight="1" x14ac:dyDescent="0.25">
      <c r="A20" s="1206">
        <v>16</v>
      </c>
      <c r="B20" s="2259" t="s">
        <v>578</v>
      </c>
      <c r="C20" s="2306">
        <v>397</v>
      </c>
      <c r="D20" s="2306">
        <v>289948</v>
      </c>
      <c r="E20" s="2306">
        <v>636</v>
      </c>
      <c r="F20" s="2306">
        <v>600</v>
      </c>
      <c r="G20" s="2307">
        <v>424</v>
      </c>
      <c r="H20" s="2307">
        <v>330990</v>
      </c>
      <c r="I20" s="2307">
        <v>791</v>
      </c>
      <c r="J20" s="2307">
        <v>671</v>
      </c>
    </row>
    <row r="21" spans="1:10" ht="22.5" customHeight="1" x14ac:dyDescent="0.25">
      <c r="A21" s="1206">
        <v>17</v>
      </c>
      <c r="B21" s="2259" t="s">
        <v>606</v>
      </c>
      <c r="C21" s="2306">
        <v>1122</v>
      </c>
      <c r="D21" s="2306">
        <v>4250826</v>
      </c>
      <c r="E21" s="2306">
        <v>5285</v>
      </c>
      <c r="F21" s="2306">
        <v>1177</v>
      </c>
      <c r="G21" s="2307">
        <v>1309</v>
      </c>
      <c r="H21" s="2307">
        <v>4708779</v>
      </c>
      <c r="I21" s="2307">
        <v>6099</v>
      </c>
      <c r="J21" s="2307">
        <v>1390</v>
      </c>
    </row>
    <row r="22" spans="1:10" ht="22.5" customHeight="1" x14ac:dyDescent="0.25">
      <c r="A22" s="1206">
        <v>18</v>
      </c>
      <c r="B22" s="2259" t="s">
        <v>1492</v>
      </c>
      <c r="C22" s="2306">
        <v>0</v>
      </c>
      <c r="D22" s="2306">
        <v>0</v>
      </c>
      <c r="E22" s="2306">
        <v>0</v>
      </c>
      <c r="F22" s="2306">
        <v>0</v>
      </c>
      <c r="G22" s="2307">
        <v>0</v>
      </c>
      <c r="H22" s="2307">
        <v>0</v>
      </c>
      <c r="I22" s="2307">
        <v>0</v>
      </c>
      <c r="J22" s="2307">
        <v>0</v>
      </c>
    </row>
    <row r="23" spans="1:10" ht="22.5" customHeight="1" x14ac:dyDescent="0.25">
      <c r="A23" s="1206">
        <v>19</v>
      </c>
      <c r="B23" s="2259" t="s">
        <v>1493</v>
      </c>
      <c r="C23" s="2306">
        <v>0</v>
      </c>
      <c r="D23" s="2306">
        <v>0</v>
      </c>
      <c r="E23" s="2306">
        <v>0</v>
      </c>
      <c r="F23" s="2306">
        <v>0</v>
      </c>
      <c r="G23" s="2307">
        <v>4</v>
      </c>
      <c r="H23" s="2307">
        <v>0</v>
      </c>
      <c r="I23" s="2307">
        <v>0</v>
      </c>
      <c r="J23" s="2307">
        <v>0</v>
      </c>
    </row>
    <row r="24" spans="1:10" ht="22.5" customHeight="1" x14ac:dyDescent="0.25">
      <c r="A24" s="1206">
        <v>20</v>
      </c>
      <c r="B24" s="2259" t="s">
        <v>1494</v>
      </c>
      <c r="C24" s="2306">
        <v>0</v>
      </c>
      <c r="D24" s="2306">
        <v>0</v>
      </c>
      <c r="E24" s="2306">
        <v>0</v>
      </c>
      <c r="F24" s="2306">
        <v>0</v>
      </c>
      <c r="G24" s="2307">
        <v>0</v>
      </c>
      <c r="H24" s="2307">
        <v>0</v>
      </c>
      <c r="I24" s="2307">
        <v>0</v>
      </c>
      <c r="J24" s="2307">
        <v>0</v>
      </c>
    </row>
    <row r="25" spans="1:10" ht="22.5" customHeight="1" x14ac:dyDescent="0.25">
      <c r="A25" s="1206">
        <v>21</v>
      </c>
      <c r="B25" s="2259" t="s">
        <v>1495</v>
      </c>
      <c r="C25" s="2306">
        <v>0</v>
      </c>
      <c r="D25" s="2306">
        <v>0</v>
      </c>
      <c r="E25" s="2306">
        <v>0</v>
      </c>
      <c r="F25" s="2306">
        <v>0</v>
      </c>
      <c r="G25" s="2307">
        <v>0</v>
      </c>
      <c r="H25" s="2307">
        <v>0</v>
      </c>
      <c r="I25" s="2307">
        <v>0</v>
      </c>
      <c r="J25" s="2307">
        <v>0</v>
      </c>
    </row>
    <row r="26" spans="1:10" ht="22.5" customHeight="1" x14ac:dyDescent="0.25">
      <c r="A26" s="1206">
        <v>22</v>
      </c>
      <c r="B26" s="2259" t="s">
        <v>631</v>
      </c>
      <c r="C26" s="2306">
        <v>137</v>
      </c>
      <c r="D26" s="2306">
        <v>161281</v>
      </c>
      <c r="E26" s="2306">
        <v>46</v>
      </c>
      <c r="F26" s="2306">
        <v>5</v>
      </c>
      <c r="G26" s="2307">
        <v>159</v>
      </c>
      <c r="H26" s="2307">
        <v>184997</v>
      </c>
      <c r="I26" s="2307">
        <v>190</v>
      </c>
      <c r="J26" s="2307">
        <v>9</v>
      </c>
    </row>
    <row r="27" spans="1:10" ht="22.5" customHeight="1" x14ac:dyDescent="0.25">
      <c r="A27" s="1206">
        <v>23</v>
      </c>
      <c r="B27" s="2259" t="s">
        <v>851</v>
      </c>
      <c r="C27" s="2306">
        <v>15</v>
      </c>
      <c r="D27" s="2306">
        <v>0</v>
      </c>
      <c r="E27" s="2306">
        <v>0</v>
      </c>
      <c r="F27" s="2306">
        <v>0</v>
      </c>
      <c r="G27" s="2307">
        <v>15</v>
      </c>
      <c r="H27" s="2307">
        <v>75</v>
      </c>
      <c r="I27" s="2307">
        <v>1</v>
      </c>
      <c r="J27" s="2307">
        <v>3</v>
      </c>
    </row>
    <row r="28" spans="1:10" ht="22.5" customHeight="1" x14ac:dyDescent="0.25">
      <c r="A28" s="1206">
        <v>24</v>
      </c>
      <c r="B28" s="2259" t="s">
        <v>645</v>
      </c>
      <c r="C28" s="2306">
        <v>271</v>
      </c>
      <c r="D28" s="2306">
        <v>108161</v>
      </c>
      <c r="E28" s="2306">
        <v>839</v>
      </c>
      <c r="F28" s="2306">
        <v>352</v>
      </c>
      <c r="G28" s="2307">
        <v>305</v>
      </c>
      <c r="H28" s="2307">
        <v>137830</v>
      </c>
      <c r="I28" s="2307">
        <v>1032</v>
      </c>
      <c r="J28" s="2307">
        <v>392</v>
      </c>
    </row>
    <row r="29" spans="1:10" ht="22.5" customHeight="1" x14ac:dyDescent="0.25">
      <c r="A29" s="1206">
        <v>25</v>
      </c>
      <c r="B29" s="2259" t="s">
        <v>223</v>
      </c>
      <c r="C29" s="2306">
        <v>455</v>
      </c>
      <c r="D29" s="2306">
        <v>438939</v>
      </c>
      <c r="E29" s="2306">
        <v>478</v>
      </c>
      <c r="F29" s="2306">
        <v>1808</v>
      </c>
      <c r="G29" s="2307">
        <v>496</v>
      </c>
      <c r="H29" s="2307">
        <v>529111</v>
      </c>
      <c r="I29" s="2307">
        <v>644</v>
      </c>
      <c r="J29" s="2307">
        <v>1898</v>
      </c>
    </row>
    <row r="30" spans="1:10" ht="22.5" customHeight="1" x14ac:dyDescent="0.25">
      <c r="A30" s="1206">
        <v>26</v>
      </c>
      <c r="B30" s="2259" t="s">
        <v>1496</v>
      </c>
      <c r="C30" s="2306">
        <v>0</v>
      </c>
      <c r="D30" s="2306">
        <v>0</v>
      </c>
      <c r="E30" s="2306">
        <v>0</v>
      </c>
      <c r="F30" s="2306">
        <v>0</v>
      </c>
      <c r="G30" s="2307">
        <v>0</v>
      </c>
      <c r="H30" s="2307">
        <v>0</v>
      </c>
      <c r="I30" s="2307">
        <v>0</v>
      </c>
      <c r="J30" s="2307">
        <v>0</v>
      </c>
    </row>
    <row r="31" spans="1:10" ht="22.5" customHeight="1" x14ac:dyDescent="0.25">
      <c r="A31" s="1206">
        <v>27</v>
      </c>
      <c r="B31" s="2259" t="s">
        <v>224</v>
      </c>
      <c r="C31" s="2306">
        <v>436</v>
      </c>
      <c r="D31" s="2306">
        <v>79218</v>
      </c>
      <c r="E31" s="2306">
        <v>53</v>
      </c>
      <c r="F31" s="2306">
        <v>53</v>
      </c>
      <c r="G31" s="2307">
        <v>503</v>
      </c>
      <c r="H31" s="2307">
        <v>132226</v>
      </c>
      <c r="I31" s="2307">
        <v>149</v>
      </c>
      <c r="J31" s="2307">
        <v>116</v>
      </c>
    </row>
    <row r="32" spans="1:10" ht="22.5" customHeight="1" x14ac:dyDescent="0.25">
      <c r="A32" s="1206">
        <v>28</v>
      </c>
      <c r="B32" s="2259" t="s">
        <v>691</v>
      </c>
      <c r="C32" s="2306">
        <v>225</v>
      </c>
      <c r="D32" s="2306">
        <v>236044</v>
      </c>
      <c r="E32" s="2306">
        <v>154</v>
      </c>
      <c r="F32" s="2306">
        <v>158</v>
      </c>
      <c r="G32" s="2307">
        <v>245</v>
      </c>
      <c r="H32" s="2307">
        <v>263342</v>
      </c>
      <c r="I32" s="2307">
        <v>196</v>
      </c>
      <c r="J32" s="2307">
        <v>200</v>
      </c>
    </row>
    <row r="33" spans="1:10" ht="22.5" customHeight="1" x14ac:dyDescent="0.25">
      <c r="A33" s="1206">
        <v>29</v>
      </c>
      <c r="B33" s="2259" t="s">
        <v>390</v>
      </c>
      <c r="C33" s="2306">
        <v>27</v>
      </c>
      <c r="D33" s="2306">
        <v>66139</v>
      </c>
      <c r="E33" s="2306">
        <v>508</v>
      </c>
      <c r="F33" s="2306">
        <v>62</v>
      </c>
      <c r="G33" s="2307">
        <v>30</v>
      </c>
      <c r="H33" s="2307">
        <v>70840</v>
      </c>
      <c r="I33" s="2307">
        <v>566</v>
      </c>
      <c r="J33" s="2307">
        <v>48</v>
      </c>
    </row>
    <row r="34" spans="1:10" ht="22.5" customHeight="1" x14ac:dyDescent="0.25">
      <c r="A34" s="1206">
        <v>30</v>
      </c>
      <c r="B34" s="2259" t="s">
        <v>1521</v>
      </c>
      <c r="C34" s="2306">
        <v>3</v>
      </c>
      <c r="D34" s="2306">
        <v>0</v>
      </c>
      <c r="E34" s="2306">
        <v>0</v>
      </c>
      <c r="F34" s="2306">
        <v>0</v>
      </c>
      <c r="G34" s="2307">
        <v>3</v>
      </c>
      <c r="H34" s="2307">
        <v>0</v>
      </c>
      <c r="I34" s="2307">
        <v>0</v>
      </c>
      <c r="J34" s="2307">
        <v>0</v>
      </c>
    </row>
    <row r="35" spans="1:10" ht="24" customHeight="1" x14ac:dyDescent="0.25">
      <c r="A35" s="1206">
        <v>31</v>
      </c>
      <c r="B35" s="2259" t="s">
        <v>1488</v>
      </c>
      <c r="C35" s="2306">
        <v>0</v>
      </c>
      <c r="D35" s="2306">
        <v>0</v>
      </c>
      <c r="E35" s="2306">
        <v>0</v>
      </c>
      <c r="F35" s="2306">
        <v>0</v>
      </c>
      <c r="G35" s="2307">
        <v>0</v>
      </c>
      <c r="H35" s="2307">
        <v>0</v>
      </c>
      <c r="I35" s="2307">
        <v>0</v>
      </c>
      <c r="J35" s="2307">
        <v>0</v>
      </c>
    </row>
    <row r="36" spans="1:10" ht="22.5" customHeight="1" x14ac:dyDescent="0.25">
      <c r="A36" s="1206">
        <v>32</v>
      </c>
      <c r="B36" s="2259" t="s">
        <v>709</v>
      </c>
      <c r="C36" s="2306">
        <v>1215</v>
      </c>
      <c r="D36" s="2306">
        <v>1935296</v>
      </c>
      <c r="E36" s="2306">
        <v>3408</v>
      </c>
      <c r="F36" s="2306">
        <v>4232</v>
      </c>
      <c r="G36" s="2307">
        <v>1367</v>
      </c>
      <c r="H36" s="2307">
        <v>2245832</v>
      </c>
      <c r="I36" s="2307">
        <v>4147</v>
      </c>
      <c r="J36" s="2307">
        <v>4593</v>
      </c>
    </row>
    <row r="37" spans="1:10" ht="22.5" customHeight="1" x14ac:dyDescent="0.25">
      <c r="A37" s="1206">
        <v>33</v>
      </c>
      <c r="B37" s="2259" t="s">
        <v>757</v>
      </c>
      <c r="C37" s="2306">
        <v>51</v>
      </c>
      <c r="D37" s="2306">
        <v>88953</v>
      </c>
      <c r="E37" s="2306">
        <v>117</v>
      </c>
      <c r="F37" s="2306">
        <v>127</v>
      </c>
      <c r="G37" s="2307">
        <v>57</v>
      </c>
      <c r="H37" s="2307">
        <v>93904</v>
      </c>
      <c r="I37" s="2307">
        <v>146</v>
      </c>
      <c r="J37" s="2307">
        <v>154</v>
      </c>
    </row>
    <row r="38" spans="1:10" ht="22.5" customHeight="1" x14ac:dyDescent="0.25">
      <c r="A38" s="1206">
        <v>34</v>
      </c>
      <c r="B38" s="2259" t="s">
        <v>225</v>
      </c>
      <c r="C38" s="2306">
        <v>200</v>
      </c>
      <c r="D38" s="2306">
        <v>74992</v>
      </c>
      <c r="E38" s="2306">
        <v>9</v>
      </c>
      <c r="F38" s="2306">
        <v>1</v>
      </c>
      <c r="G38" s="2307">
        <v>242</v>
      </c>
      <c r="H38" s="2307">
        <v>152328</v>
      </c>
      <c r="I38" s="2307">
        <v>35</v>
      </c>
      <c r="J38" s="2307">
        <v>10</v>
      </c>
    </row>
    <row r="39" spans="1:10" ht="29.25" customHeight="1" x14ac:dyDescent="0.25">
      <c r="A39" s="2950" t="s">
        <v>133</v>
      </c>
      <c r="B39" s="2950"/>
      <c r="C39" s="2308">
        <v>8067</v>
      </c>
      <c r="D39" s="2308">
        <v>15041471</v>
      </c>
      <c r="E39" s="2308">
        <v>45373</v>
      </c>
      <c r="F39" s="2308">
        <v>20461</v>
      </c>
      <c r="G39" s="2186">
        <v>8916</v>
      </c>
      <c r="H39" s="2186">
        <v>16949377</v>
      </c>
      <c r="I39" s="2186">
        <v>49994</v>
      </c>
      <c r="J39" s="2186">
        <v>21831</v>
      </c>
    </row>
    <row r="40" spans="1:10" ht="21" customHeight="1" x14ac:dyDescent="0.25">
      <c r="A40" s="2953" t="s">
        <v>2412</v>
      </c>
      <c r="B40" s="2953"/>
      <c r="C40" s="2953"/>
      <c r="D40" s="2953"/>
      <c r="E40" s="2953"/>
      <c r="F40" s="2953"/>
      <c r="G40" s="2953"/>
      <c r="H40" s="2953"/>
      <c r="I40" s="2953"/>
      <c r="J40" s="2953"/>
    </row>
    <row r="65" ht="1.5" customHeight="1" x14ac:dyDescent="0.25"/>
  </sheetData>
  <mergeCells count="8">
    <mergeCell ref="A39:B39"/>
    <mergeCell ref="A2:J2"/>
    <mergeCell ref="A40:J40"/>
    <mergeCell ref="A1:J1"/>
    <mergeCell ref="A3:A4"/>
    <mergeCell ref="B3:B4"/>
    <mergeCell ref="C3:F3"/>
    <mergeCell ref="G3:J3"/>
  </mergeCells>
  <pageMargins left="0.7" right="0.7" top="0.75" bottom="0.75" header="0.3" footer="0.3"/>
  <pageSetup paperSize="9" scale="69"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B65AE4-2883-4883-A24A-4AFC036464D1}">
  <sheetPr>
    <tabColor theme="0"/>
    <pageSetUpPr fitToPage="1"/>
  </sheetPr>
  <dimension ref="A1:O64"/>
  <sheetViews>
    <sheetView showGridLines="0" view="pageBreakPreview" topLeftCell="B18" zoomScale="60" zoomScaleNormal="120" zoomScalePageLayoutView="70" workbookViewId="0">
      <selection activeCell="B81" sqref="B81"/>
    </sheetView>
  </sheetViews>
  <sheetFormatPr defaultColWidth="9.140625" defaultRowHeight="15.75" x14ac:dyDescent="0.25"/>
  <cols>
    <col min="1" max="1" width="0" style="390" hidden="1" customWidth="1"/>
    <col min="2" max="2" width="28.5703125" style="390" customWidth="1"/>
    <col min="3" max="3" width="24.7109375" style="416" customWidth="1"/>
    <col min="4" max="4" width="19" style="390" customWidth="1"/>
    <col min="5" max="5" width="27.42578125" style="390" customWidth="1"/>
    <col min="6" max="6" width="15.28515625" style="390" customWidth="1"/>
    <col min="7" max="7" width="14.42578125" style="390" customWidth="1"/>
    <col min="8" max="8" width="11.140625" style="390" hidden="1" customWidth="1"/>
    <col min="9" max="9" width="0" style="390" hidden="1" customWidth="1"/>
    <col min="10" max="10" width="18.28515625" style="390" hidden="1" customWidth="1"/>
    <col min="11" max="11" width="25.7109375" style="390" hidden="1" customWidth="1"/>
    <col min="12" max="15" width="0" style="390" hidden="1" customWidth="1"/>
    <col min="16" max="16384" width="9.140625" style="390"/>
  </cols>
  <sheetData>
    <row r="1" spans="1:13" ht="18.75" x14ac:dyDescent="0.25">
      <c r="A1" s="1420" t="s">
        <v>296</v>
      </c>
      <c r="B1" s="2978" t="s">
        <v>874</v>
      </c>
      <c r="C1" s="2979"/>
      <c r="D1" s="2979"/>
      <c r="E1" s="2979"/>
      <c r="F1" s="2979"/>
      <c r="G1" s="2980"/>
      <c r="H1" s="58"/>
    </row>
    <row r="2" spans="1:13" ht="47.25" customHeight="1" x14ac:dyDescent="0.25">
      <c r="A2" s="58"/>
      <c r="B2" s="1419" t="s">
        <v>875</v>
      </c>
      <c r="C2" s="2981" t="s">
        <v>876</v>
      </c>
      <c r="D2" s="2982"/>
      <c r="E2" s="1145" t="s">
        <v>2952</v>
      </c>
      <c r="F2" s="2792" t="s">
        <v>2953</v>
      </c>
      <c r="G2" s="2983"/>
      <c r="H2" s="58"/>
      <c r="M2" s="390" t="s">
        <v>877</v>
      </c>
    </row>
    <row r="3" spans="1:13" ht="20.25" customHeight="1" x14ac:dyDescent="0.25">
      <c r="A3" s="58"/>
      <c r="B3" s="537" t="s">
        <v>878</v>
      </c>
      <c r="C3" s="2984" t="s">
        <v>879</v>
      </c>
      <c r="D3" s="2984"/>
      <c r="E3" s="2178">
        <v>17.5</v>
      </c>
      <c r="F3" s="2976">
        <v>91.9</v>
      </c>
      <c r="G3" s="2977"/>
      <c r="H3" s="58">
        <f>+E3*50%*F3/100</f>
        <v>8.0412499999999998</v>
      </c>
      <c r="M3" s="390">
        <v>88.5</v>
      </c>
    </row>
    <row r="4" spans="1:13" ht="20.25" customHeight="1" x14ac:dyDescent="0.25">
      <c r="A4" s="58"/>
      <c r="B4" s="537" t="s">
        <v>486</v>
      </c>
      <c r="C4" s="2984" t="s">
        <v>880</v>
      </c>
      <c r="D4" s="2984"/>
      <c r="E4" s="2178">
        <v>6</v>
      </c>
      <c r="F4" s="2976">
        <v>27.2</v>
      </c>
      <c r="G4" s="2977"/>
      <c r="H4" s="58">
        <f t="shared" ref="H4:H9" si="0">+E4*50%*F4/100</f>
        <v>0.81599999999999995</v>
      </c>
      <c r="M4" s="390">
        <v>49.97</v>
      </c>
    </row>
    <row r="5" spans="1:13" ht="20.25" customHeight="1" x14ac:dyDescent="0.25">
      <c r="A5" s="58"/>
      <c r="B5" s="537" t="s">
        <v>2405</v>
      </c>
      <c r="C5" s="2984" t="s">
        <v>881</v>
      </c>
      <c r="D5" s="2984"/>
      <c r="E5" s="2178">
        <v>5</v>
      </c>
      <c r="F5" s="2976">
        <v>34.5</v>
      </c>
      <c r="G5" s="2977"/>
      <c r="H5" s="58">
        <f t="shared" si="0"/>
        <v>0.86250000000000004</v>
      </c>
      <c r="M5" s="390">
        <v>79.87</v>
      </c>
    </row>
    <row r="6" spans="1:13" ht="20.25" customHeight="1" x14ac:dyDescent="0.25">
      <c r="A6" s="58"/>
      <c r="B6" s="537" t="s">
        <v>882</v>
      </c>
      <c r="C6" s="2984" t="s">
        <v>883</v>
      </c>
      <c r="D6" s="2984"/>
      <c r="E6" s="2178">
        <v>5</v>
      </c>
      <c r="F6" s="2976">
        <v>26.3</v>
      </c>
      <c r="G6" s="2977"/>
      <c r="H6" s="58">
        <f t="shared" si="0"/>
        <v>0.65749999999999997</v>
      </c>
      <c r="M6" s="390">
        <v>20.93</v>
      </c>
    </row>
    <row r="7" spans="1:13" ht="20.25" customHeight="1" x14ac:dyDescent="0.25">
      <c r="A7" s="58"/>
      <c r="B7" s="537" t="s">
        <v>884</v>
      </c>
      <c r="C7" s="2984" t="s">
        <v>885</v>
      </c>
      <c r="D7" s="2984"/>
      <c r="E7" s="2178">
        <v>5</v>
      </c>
      <c r="F7" s="2976">
        <v>25.1</v>
      </c>
      <c r="G7" s="2977"/>
      <c r="H7" s="58">
        <f t="shared" si="0"/>
        <v>0.62749999999999995</v>
      </c>
      <c r="M7" s="390">
        <v>13</v>
      </c>
    </row>
    <row r="8" spans="1:13" ht="20.25" customHeight="1" x14ac:dyDescent="0.25">
      <c r="A8" s="58"/>
      <c r="B8" s="537" t="s">
        <v>886</v>
      </c>
      <c r="C8" s="2984" t="s">
        <v>887</v>
      </c>
      <c r="D8" s="2984"/>
      <c r="E8" s="2178">
        <v>5</v>
      </c>
      <c r="F8" s="2976">
        <v>17.399999999999999</v>
      </c>
      <c r="G8" s="2977"/>
      <c r="H8" s="58">
        <f t="shared" si="0"/>
        <v>0.435</v>
      </c>
      <c r="M8" s="390">
        <v>19.399999999999999</v>
      </c>
    </row>
    <row r="9" spans="1:13" ht="20.25" customHeight="1" x14ac:dyDescent="0.25">
      <c r="A9" s="58"/>
      <c r="B9" s="537" t="s">
        <v>888</v>
      </c>
      <c r="C9" s="2984" t="s">
        <v>889</v>
      </c>
      <c r="D9" s="2984"/>
      <c r="E9" s="2178">
        <v>5</v>
      </c>
      <c r="F9" s="2976">
        <v>34.1</v>
      </c>
      <c r="G9" s="2977"/>
      <c r="H9" s="58">
        <f t="shared" si="0"/>
        <v>0.85250000000000004</v>
      </c>
    </row>
    <row r="10" spans="1:13" ht="20.25" customHeight="1" x14ac:dyDescent="0.25">
      <c r="A10" s="58"/>
      <c r="B10" s="537" t="s">
        <v>2359</v>
      </c>
      <c r="C10" s="3006" t="s">
        <v>2360</v>
      </c>
      <c r="D10" s="3007"/>
      <c r="E10" s="2178">
        <v>5</v>
      </c>
      <c r="F10" s="2976">
        <v>6.2</v>
      </c>
      <c r="G10" s="2977"/>
      <c r="H10" s="58"/>
    </row>
    <row r="11" spans="1:13" ht="20.25" customHeight="1" x14ac:dyDescent="0.25">
      <c r="A11" s="58"/>
      <c r="B11" s="874" t="s">
        <v>890</v>
      </c>
      <c r="C11" s="3008"/>
      <c r="D11" s="3008"/>
      <c r="E11" s="2179">
        <f>SUM(E3:E10)</f>
        <v>53.5</v>
      </c>
      <c r="F11" s="3009"/>
      <c r="G11" s="3010"/>
      <c r="H11" s="58">
        <f>SUM(H3:H9)</f>
        <v>12.292250000000003</v>
      </c>
    </row>
    <row r="12" spans="1:13" ht="32.25" customHeight="1" x14ac:dyDescent="0.25">
      <c r="A12" s="58"/>
      <c r="B12" s="3011" t="s">
        <v>2997</v>
      </c>
      <c r="C12" s="3012"/>
      <c r="D12" s="3012"/>
      <c r="E12" s="3012"/>
      <c r="F12" s="3012"/>
      <c r="G12" s="3013"/>
      <c r="H12" s="415">
        <f>+H11/23.85*100</f>
        <v>51.539832285115317</v>
      </c>
      <c r="I12" s="415"/>
      <c r="J12" s="415"/>
      <c r="K12" s="415"/>
      <c r="L12" s="415"/>
      <c r="M12" s="415"/>
    </row>
    <row r="13" spans="1:13" ht="18.75" x14ac:dyDescent="0.3">
      <c r="B13" s="600"/>
      <c r="C13" s="957"/>
      <c r="D13" s="592"/>
      <c r="E13" s="592"/>
      <c r="F13" s="592"/>
      <c r="G13" s="593"/>
    </row>
    <row r="14" spans="1:13" ht="18.75" x14ac:dyDescent="0.25">
      <c r="B14" s="2985" t="s">
        <v>891</v>
      </c>
      <c r="C14" s="2986"/>
      <c r="D14" s="2986"/>
      <c r="E14" s="2986"/>
      <c r="F14" s="2986"/>
      <c r="G14" s="2987"/>
    </row>
    <row r="15" spans="1:13" ht="16.5" customHeight="1" x14ac:dyDescent="0.3">
      <c r="B15" s="1465"/>
      <c r="C15" s="958"/>
      <c r="D15" s="959"/>
      <c r="E15" s="592"/>
      <c r="F15" s="592"/>
      <c r="G15" s="593"/>
    </row>
    <row r="16" spans="1:13" ht="18.75" x14ac:dyDescent="0.25">
      <c r="B16" s="2988" t="s">
        <v>892</v>
      </c>
      <c r="C16" s="2989"/>
      <c r="D16" s="2989"/>
      <c r="E16" s="2989"/>
      <c r="F16" s="2989"/>
      <c r="G16" s="2990"/>
    </row>
    <row r="17" spans="2:7" ht="37.5" x14ac:dyDescent="0.25">
      <c r="B17" s="641" t="s">
        <v>893</v>
      </c>
      <c r="C17" s="639" t="s">
        <v>81</v>
      </c>
      <c r="D17" s="639" t="s">
        <v>101</v>
      </c>
      <c r="E17" s="639" t="s">
        <v>894</v>
      </c>
      <c r="F17" s="639" t="s">
        <v>895</v>
      </c>
      <c r="G17" s="642" t="s">
        <v>896</v>
      </c>
    </row>
    <row r="18" spans="2:7" ht="21.75" customHeight="1" x14ac:dyDescent="0.25">
      <c r="B18" s="615" t="s">
        <v>897</v>
      </c>
      <c r="C18" s="617">
        <v>20.708642615854245</v>
      </c>
      <c r="D18" s="640">
        <v>27438.951466006878</v>
      </c>
      <c r="E18" s="640">
        <v>1088847280.3970983</v>
      </c>
      <c r="F18" s="640">
        <v>8051</v>
      </c>
      <c r="G18" s="643">
        <v>7.3940580510646381</v>
      </c>
    </row>
    <row r="19" spans="2:7" ht="21.75" customHeight="1" x14ac:dyDescent="0.25">
      <c r="B19" s="615" t="s">
        <v>7</v>
      </c>
      <c r="C19" s="617">
        <v>21.654022401584232</v>
      </c>
      <c r="D19" s="640">
        <v>28740.457048832399</v>
      </c>
      <c r="E19" s="640">
        <v>1140494327.3346188</v>
      </c>
      <c r="F19" s="640">
        <v>10253</v>
      </c>
      <c r="G19" s="643">
        <v>8.9899614178368381</v>
      </c>
    </row>
    <row r="20" spans="2:7" ht="21.75" customHeight="1" x14ac:dyDescent="0.25">
      <c r="B20" s="615" t="s">
        <v>8</v>
      </c>
      <c r="C20" s="617">
        <v>25.574370239190433</v>
      </c>
      <c r="D20" s="640">
        <v>33886.040566927324</v>
      </c>
      <c r="E20" s="640">
        <v>1344684149.4812429</v>
      </c>
      <c r="F20" s="640">
        <v>9489.1027029310026</v>
      </c>
      <c r="G20" s="643">
        <v>7.0567521053860434</v>
      </c>
    </row>
    <row r="21" spans="2:7" ht="21.75" customHeight="1" x14ac:dyDescent="0.25">
      <c r="B21" s="615" t="s">
        <v>76</v>
      </c>
      <c r="C21" s="617">
        <v>25.054871915</v>
      </c>
      <c r="D21" s="640">
        <v>33197.705287375</v>
      </c>
      <c r="E21" s="640">
        <v>1317369257.4355159</v>
      </c>
      <c r="F21" s="640">
        <v>7880.7241620000004</v>
      </c>
      <c r="G21" s="643">
        <v>5.982167958998204</v>
      </c>
    </row>
    <row r="22" spans="2:7" ht="21.75" customHeight="1" x14ac:dyDescent="0.25">
      <c r="B22" s="615" t="s">
        <v>10</v>
      </c>
      <c r="C22" s="617">
        <v>23.417028703</v>
      </c>
      <c r="D22" s="640">
        <v>31027.563031474998</v>
      </c>
      <c r="E22" s="640">
        <v>1231252501.2490079</v>
      </c>
      <c r="F22" s="640">
        <v>13472.228999000001</v>
      </c>
      <c r="G22" s="643">
        <v>10.941889649225883</v>
      </c>
    </row>
    <row r="23" spans="2:7" ht="21.75" customHeight="1" x14ac:dyDescent="0.25">
      <c r="B23" s="615" t="s">
        <v>11</v>
      </c>
      <c r="C23" s="617">
        <v>19.852386404000001</v>
      </c>
      <c r="D23" s="640">
        <v>26304.411985300001</v>
      </c>
      <c r="E23" s="640">
        <v>1043825872.4325397</v>
      </c>
      <c r="F23" s="640">
        <v>17113.612523</v>
      </c>
      <c r="G23" s="643">
        <v>16.395083677240446</v>
      </c>
    </row>
    <row r="24" spans="2:7" ht="21.75" customHeight="1" x14ac:dyDescent="0.25">
      <c r="B24" s="615" t="s">
        <v>382</v>
      </c>
      <c r="C24" s="617">
        <v>23.996378475</v>
      </c>
      <c r="D24" s="640">
        <v>31795.201479374999</v>
      </c>
      <c r="E24" s="640">
        <v>1246577333.9361327</v>
      </c>
      <c r="F24" s="640">
        <v>13404.699032</v>
      </c>
      <c r="G24" s="643">
        <v>10.753202923780082</v>
      </c>
    </row>
    <row r="25" spans="2:7" ht="21.75" customHeight="1" x14ac:dyDescent="0.25">
      <c r="B25" s="875" t="s">
        <v>2309</v>
      </c>
      <c r="C25" s="851">
        <v>26.958721203999996</v>
      </c>
      <c r="D25" s="876">
        <v>35720.3055953</v>
      </c>
      <c r="E25" s="876">
        <v>1400466776.2604878</v>
      </c>
      <c r="F25" s="876">
        <v>14907.660296999999</v>
      </c>
      <c r="G25" s="877">
        <v>10.644779690387431</v>
      </c>
    </row>
    <row r="26" spans="2:7" ht="21.75" customHeight="1" x14ac:dyDescent="0.25">
      <c r="B26" s="2309" t="s">
        <v>2663</v>
      </c>
      <c r="C26" s="1524">
        <v>25.982401724999999</v>
      </c>
      <c r="D26" s="2310">
        <v>34426.682285625</v>
      </c>
      <c r="E26" s="2310">
        <v>1366138185.9375</v>
      </c>
      <c r="F26" s="2310">
        <v>13355.817014999999</v>
      </c>
      <c r="G26" s="2311">
        <v>9.7763294756560004</v>
      </c>
    </row>
    <row r="27" spans="2:7" ht="18" customHeight="1" x14ac:dyDescent="0.25">
      <c r="B27" s="2999" t="s">
        <v>2954</v>
      </c>
      <c r="C27" s="3000"/>
      <c r="D27" s="3000"/>
      <c r="E27" s="3000"/>
      <c r="F27" s="3000"/>
      <c r="G27" s="3001"/>
    </row>
    <row r="28" spans="2:7" ht="21.75" customHeight="1" x14ac:dyDescent="0.25">
      <c r="B28" s="2991" t="s">
        <v>898</v>
      </c>
      <c r="C28" s="2992"/>
      <c r="D28" s="2992"/>
      <c r="E28" s="2992"/>
      <c r="F28" s="2992"/>
      <c r="G28" s="2993"/>
    </row>
    <row r="29" spans="2:7" ht="21.75" customHeight="1" x14ac:dyDescent="0.25">
      <c r="B29" s="2991"/>
      <c r="C29" s="2992"/>
      <c r="D29" s="2992"/>
      <c r="E29" s="2992"/>
      <c r="F29" s="2992"/>
      <c r="G29" s="2993"/>
    </row>
    <row r="30" spans="2:7" x14ac:dyDescent="0.25">
      <c r="B30" s="510"/>
      <c r="G30" s="399"/>
    </row>
    <row r="31" spans="2:7" ht="16.5" customHeight="1" x14ac:dyDescent="0.25">
      <c r="B31" s="2994" t="s">
        <v>2411</v>
      </c>
      <c r="C31" s="2995"/>
      <c r="D31" s="2995"/>
      <c r="E31" s="2995"/>
      <c r="F31" s="2995"/>
      <c r="G31" s="2996"/>
    </row>
    <row r="32" spans="2:7" ht="16.5" x14ac:dyDescent="0.25">
      <c r="B32" s="3002" t="s">
        <v>2401</v>
      </c>
      <c r="C32" s="3003"/>
      <c r="D32" s="2914" t="s">
        <v>2899</v>
      </c>
      <c r="E32" s="2914"/>
      <c r="F32" s="2914"/>
      <c r="G32" s="3004"/>
    </row>
    <row r="33" spans="2:15" ht="16.5" customHeight="1" x14ac:dyDescent="0.25">
      <c r="B33" s="3002"/>
      <c r="C33" s="3003"/>
      <c r="D33" s="2997" t="s">
        <v>2402</v>
      </c>
      <c r="E33" s="2998"/>
      <c r="F33" s="2997" t="s">
        <v>2403</v>
      </c>
      <c r="G33" s="3005"/>
    </row>
    <row r="34" spans="2:15" ht="16.5" customHeight="1" x14ac:dyDescent="0.25">
      <c r="B34" s="2967" t="s">
        <v>2404</v>
      </c>
      <c r="C34" s="2968"/>
      <c r="D34" s="2997">
        <v>1572</v>
      </c>
      <c r="E34" s="2998"/>
      <c r="F34" s="2997">
        <v>16.8</v>
      </c>
      <c r="G34" s="3005"/>
      <c r="H34" s="112"/>
      <c r="I34" s="112"/>
      <c r="J34" s="112"/>
      <c r="K34" s="112"/>
      <c r="L34" s="112"/>
      <c r="M34" s="112"/>
      <c r="N34" s="112"/>
      <c r="O34" s="112"/>
    </row>
    <row r="35" spans="2:15" x14ac:dyDescent="0.25">
      <c r="B35" s="2965" t="s">
        <v>2897</v>
      </c>
      <c r="C35" s="2966"/>
      <c r="D35" s="3014">
        <v>1520</v>
      </c>
      <c r="E35" s="3015"/>
      <c r="F35" s="2969">
        <v>16.2</v>
      </c>
      <c r="G35" s="2970"/>
    </row>
    <row r="36" spans="2:15" x14ac:dyDescent="0.25">
      <c r="B36" s="2965" t="s">
        <v>878</v>
      </c>
      <c r="C36" s="2966"/>
      <c r="D36" s="3014">
        <v>1522</v>
      </c>
      <c r="E36" s="3015"/>
      <c r="F36" s="2969">
        <v>16.3</v>
      </c>
      <c r="G36" s="2970"/>
    </row>
    <row r="37" spans="2:15" x14ac:dyDescent="0.25">
      <c r="B37" s="2965" t="s">
        <v>2489</v>
      </c>
      <c r="C37" s="2966"/>
      <c r="D37" s="3014">
        <v>1670</v>
      </c>
      <c r="E37" s="3015"/>
      <c r="F37" s="2969">
        <v>17.8</v>
      </c>
      <c r="G37" s="2970"/>
    </row>
    <row r="38" spans="2:15" x14ac:dyDescent="0.25">
      <c r="B38" s="2965" t="s">
        <v>2406</v>
      </c>
      <c r="C38" s="2966"/>
      <c r="D38" s="3014">
        <v>1160</v>
      </c>
      <c r="E38" s="3015"/>
      <c r="F38" s="2969">
        <v>12.4</v>
      </c>
      <c r="G38" s="2970"/>
    </row>
    <row r="39" spans="2:15" x14ac:dyDescent="0.25">
      <c r="B39" s="2965" t="s">
        <v>2405</v>
      </c>
      <c r="C39" s="2966"/>
      <c r="D39" s="3014">
        <v>1612</v>
      </c>
      <c r="E39" s="3015"/>
      <c r="F39" s="2969">
        <v>17.2</v>
      </c>
      <c r="G39" s="2970"/>
    </row>
    <row r="40" spans="2:15" x14ac:dyDescent="0.25">
      <c r="B40" s="2965" t="s">
        <v>486</v>
      </c>
      <c r="C40" s="2966"/>
      <c r="D40" s="3014">
        <v>1790</v>
      </c>
      <c r="E40" s="3015"/>
      <c r="F40" s="2969">
        <v>19.100000000000001</v>
      </c>
      <c r="G40" s="2970"/>
    </row>
    <row r="41" spans="2:15" x14ac:dyDescent="0.25">
      <c r="B41" s="2967" t="s">
        <v>2407</v>
      </c>
      <c r="C41" s="2968"/>
      <c r="D41" s="2997">
        <v>1810</v>
      </c>
      <c r="E41" s="2998"/>
      <c r="F41" s="2971">
        <v>19.3</v>
      </c>
      <c r="G41" s="2972"/>
    </row>
    <row r="42" spans="2:15" x14ac:dyDescent="0.25">
      <c r="B42" s="2965" t="s">
        <v>2898</v>
      </c>
      <c r="C42" s="2966"/>
      <c r="D42" s="3014">
        <v>1810</v>
      </c>
      <c r="E42" s="3015"/>
      <c r="F42" s="2969">
        <v>19.3</v>
      </c>
      <c r="G42" s="2970"/>
    </row>
    <row r="43" spans="2:15" x14ac:dyDescent="0.25">
      <c r="B43" s="2965" t="s">
        <v>2490</v>
      </c>
      <c r="C43" s="2966"/>
      <c r="D43" s="3014">
        <v>1810</v>
      </c>
      <c r="E43" s="3015"/>
      <c r="F43" s="2969">
        <v>19.3</v>
      </c>
      <c r="G43" s="2970"/>
    </row>
    <row r="44" spans="2:15" x14ac:dyDescent="0.25">
      <c r="B44" s="2967" t="s">
        <v>2408</v>
      </c>
      <c r="C44" s="2968"/>
      <c r="D44" s="2997">
        <v>1679</v>
      </c>
      <c r="E44" s="2998"/>
      <c r="F44" s="2971">
        <v>17.899999999999999</v>
      </c>
      <c r="G44" s="2972"/>
    </row>
    <row r="45" spans="2:15" x14ac:dyDescent="0.25">
      <c r="B45" s="2965" t="s">
        <v>2409</v>
      </c>
      <c r="C45" s="2966"/>
      <c r="D45" s="3014">
        <v>1679</v>
      </c>
      <c r="E45" s="3015"/>
      <c r="F45" s="2969">
        <v>17.899999999999999</v>
      </c>
      <c r="G45" s="2970"/>
    </row>
    <row r="46" spans="2:15" x14ac:dyDescent="0.25">
      <c r="B46" s="2967" t="s">
        <v>1029</v>
      </c>
      <c r="C46" s="2968"/>
      <c r="D46" s="2997">
        <v>1577</v>
      </c>
      <c r="E46" s="2998"/>
      <c r="F46" s="2971">
        <v>16.899999999999999</v>
      </c>
      <c r="G46" s="2972"/>
    </row>
    <row r="47" spans="2:15" ht="15.75" customHeight="1" x14ac:dyDescent="0.25">
      <c r="B47" s="2973" t="s">
        <v>2491</v>
      </c>
      <c r="C47" s="2974"/>
      <c r="D47" s="2974"/>
      <c r="E47" s="2974"/>
      <c r="F47" s="2974"/>
      <c r="G47" s="2975"/>
    </row>
    <row r="48" spans="2:15" ht="15.75" customHeight="1" x14ac:dyDescent="0.25">
      <c r="B48" s="2959" t="s">
        <v>2492</v>
      </c>
      <c r="C48" s="2960"/>
      <c r="D48" s="2960"/>
      <c r="E48" s="2960"/>
      <c r="F48" s="2960"/>
      <c r="G48" s="2961"/>
    </row>
    <row r="49" spans="2:7" ht="16.5" customHeight="1" thickBot="1" x14ac:dyDescent="0.3">
      <c r="B49" s="2962" t="s">
        <v>2410</v>
      </c>
      <c r="C49" s="2963"/>
      <c r="D49" s="2963"/>
      <c r="E49" s="2963"/>
      <c r="F49" s="2963"/>
      <c r="G49" s="2964"/>
    </row>
    <row r="64" spans="2:7" ht="1.5" customHeight="1" x14ac:dyDescent="0.25"/>
  </sheetData>
  <mergeCells count="73">
    <mergeCell ref="C11:D11"/>
    <mergeCell ref="F11:G11"/>
    <mergeCell ref="B12:G12"/>
    <mergeCell ref="F46:G46"/>
    <mergeCell ref="D35:E35"/>
    <mergeCell ref="D36:E36"/>
    <mergeCell ref="D37:E37"/>
    <mergeCell ref="D38:E38"/>
    <mergeCell ref="D39:E39"/>
    <mergeCell ref="D40:E40"/>
    <mergeCell ref="D41:E41"/>
    <mergeCell ref="D42:E42"/>
    <mergeCell ref="D43:E43"/>
    <mergeCell ref="D44:E44"/>
    <mergeCell ref="D45:E45"/>
    <mergeCell ref="D46:E46"/>
    <mergeCell ref="C8:D8"/>
    <mergeCell ref="F8:G8"/>
    <mergeCell ref="C9:D9"/>
    <mergeCell ref="F9:G9"/>
    <mergeCell ref="C10:D10"/>
    <mergeCell ref="F10:G10"/>
    <mergeCell ref="B14:G14"/>
    <mergeCell ref="B16:G16"/>
    <mergeCell ref="B28:G29"/>
    <mergeCell ref="B31:G31"/>
    <mergeCell ref="F37:G37"/>
    <mergeCell ref="D34:E34"/>
    <mergeCell ref="B27:G27"/>
    <mergeCell ref="F35:G35"/>
    <mergeCell ref="F36:G36"/>
    <mergeCell ref="B32:C33"/>
    <mergeCell ref="D32:G32"/>
    <mergeCell ref="D33:E33"/>
    <mergeCell ref="F33:G33"/>
    <mergeCell ref="B34:C34"/>
    <mergeCell ref="F34:G34"/>
    <mergeCell ref="B35:C35"/>
    <mergeCell ref="F5:G5"/>
    <mergeCell ref="C6:D6"/>
    <mergeCell ref="F6:G6"/>
    <mergeCell ref="C7:D7"/>
    <mergeCell ref="F7:G7"/>
    <mergeCell ref="C5:D5"/>
    <mergeCell ref="F4:G4"/>
    <mergeCell ref="B1:G1"/>
    <mergeCell ref="C2:D2"/>
    <mergeCell ref="F2:G2"/>
    <mergeCell ref="C3:D3"/>
    <mergeCell ref="F3:G3"/>
    <mergeCell ref="C4:D4"/>
    <mergeCell ref="B36:C36"/>
    <mergeCell ref="B37:C37"/>
    <mergeCell ref="B38:C38"/>
    <mergeCell ref="B47:G47"/>
    <mergeCell ref="F38:G38"/>
    <mergeCell ref="F44:G44"/>
    <mergeCell ref="F39:G39"/>
    <mergeCell ref="B48:G48"/>
    <mergeCell ref="B49:G49"/>
    <mergeCell ref="B39:C39"/>
    <mergeCell ref="B40:C40"/>
    <mergeCell ref="B41:C41"/>
    <mergeCell ref="B42:C42"/>
    <mergeCell ref="B43:C43"/>
    <mergeCell ref="B44:C44"/>
    <mergeCell ref="B45:C45"/>
    <mergeCell ref="B46:C46"/>
    <mergeCell ref="F40:G40"/>
    <mergeCell ref="F41:G41"/>
    <mergeCell ref="F42:G42"/>
    <mergeCell ref="F43:G43"/>
    <mergeCell ref="F45:G45"/>
  </mergeCells>
  <hyperlinks>
    <hyperlink ref="A1" location="CONTENTS!A1" display="Home" xr:uid="{B52B693B-EA90-4325-9F36-EA5D4253609A}"/>
    <hyperlink ref="B49" r:id="rId1" display="http://www.igxindia.com/" xr:uid="{AD3B353A-D165-45C6-AEAD-8E0614146A5A}"/>
  </hyperlinks>
  <pageMargins left="0.70866141732283472" right="0.70866141732283472" top="0.74803149606299213" bottom="0.74803149606299213" header="0.31496062992125984" footer="0.31496062992125984"/>
  <pageSetup paperSize="9" scale="67" orientation="portrait"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F26FD1-4652-4D4E-A160-7391EE97D690}">
  <sheetPr>
    <tabColor theme="0"/>
    <pageSetUpPr fitToPage="1"/>
  </sheetPr>
  <dimension ref="A1:J92"/>
  <sheetViews>
    <sheetView showGridLines="0" view="pageLayout" topLeftCell="D72" zoomScale="80" zoomScaleNormal="100" zoomScalePageLayoutView="80" workbookViewId="0">
      <selection activeCell="B81" sqref="B81"/>
    </sheetView>
  </sheetViews>
  <sheetFormatPr defaultColWidth="9.140625" defaultRowHeight="15.75" x14ac:dyDescent="0.25"/>
  <cols>
    <col min="1" max="1" width="8.42578125" style="112" hidden="1" customWidth="1"/>
    <col min="2" max="2" width="0" style="112" hidden="1" customWidth="1"/>
    <col min="3" max="3" width="64.140625" style="112" customWidth="1"/>
    <col min="4" max="4" width="27.7109375" style="112" customWidth="1"/>
    <col min="5" max="5" width="34.5703125" style="112" customWidth="1"/>
    <col min="6" max="6" width="32.42578125" style="112" customWidth="1"/>
    <col min="7" max="7" width="25.5703125" style="112" customWidth="1"/>
    <col min="8" max="16384" width="9.140625" style="112"/>
  </cols>
  <sheetData>
    <row r="1" spans="2:7" ht="20.25" customHeight="1" x14ac:dyDescent="0.25"/>
    <row r="2" spans="2:7" ht="20.25" customHeight="1" thickBot="1" x14ac:dyDescent="0.3"/>
    <row r="3" spans="2:7" ht="20.25" customHeight="1" x14ac:dyDescent="0.25">
      <c r="C3" s="3045" t="s">
        <v>899</v>
      </c>
      <c r="D3" s="3046"/>
      <c r="E3" s="3046"/>
      <c r="F3" s="3046"/>
      <c r="G3" s="3047"/>
    </row>
    <row r="4" spans="2:7" ht="20.25" customHeight="1" x14ac:dyDescent="0.35">
      <c r="C4" s="647"/>
      <c r="D4" s="648"/>
      <c r="E4" s="648"/>
      <c r="F4" s="649"/>
      <c r="G4" s="650"/>
    </row>
    <row r="5" spans="2:7" ht="41.25" customHeight="1" x14ac:dyDescent="0.25">
      <c r="C5" s="651" t="s">
        <v>900</v>
      </c>
      <c r="D5" s="3048" t="s">
        <v>901</v>
      </c>
      <c r="E5" s="3049"/>
      <c r="F5" s="3050" t="s">
        <v>902</v>
      </c>
      <c r="G5" s="3051"/>
    </row>
    <row r="6" spans="2:7" ht="20.25" customHeight="1" x14ac:dyDescent="0.25">
      <c r="C6" s="652" t="s">
        <v>903</v>
      </c>
      <c r="D6" s="3038">
        <v>5.05</v>
      </c>
      <c r="E6" s="3038"/>
      <c r="F6" s="3038"/>
      <c r="G6" s="3039"/>
    </row>
    <row r="7" spans="2:7" ht="20.25" customHeight="1" x14ac:dyDescent="0.25">
      <c r="C7" s="652" t="s">
        <v>904</v>
      </c>
      <c r="D7" s="3038">
        <v>4.66</v>
      </c>
      <c r="E7" s="3038"/>
      <c r="F7" s="3038"/>
      <c r="G7" s="3039"/>
    </row>
    <row r="8" spans="2:7" ht="20.25" customHeight="1" x14ac:dyDescent="0.25">
      <c r="C8" s="652" t="s">
        <v>905</v>
      </c>
      <c r="D8" s="3038">
        <v>3.82</v>
      </c>
      <c r="E8" s="3038"/>
      <c r="F8" s="3038"/>
      <c r="G8" s="3039"/>
    </row>
    <row r="9" spans="2:7" ht="20.25" customHeight="1" x14ac:dyDescent="0.25">
      <c r="C9" s="652" t="s">
        <v>906</v>
      </c>
      <c r="D9" s="3038">
        <v>3.06</v>
      </c>
      <c r="E9" s="3038"/>
      <c r="F9" s="3038">
        <v>6.61</v>
      </c>
      <c r="G9" s="3039"/>
    </row>
    <row r="10" spans="2:7" ht="20.25" customHeight="1" x14ac:dyDescent="0.25">
      <c r="C10" s="652" t="s">
        <v>907</v>
      </c>
      <c r="D10" s="3038">
        <v>2.5</v>
      </c>
      <c r="E10" s="3038"/>
      <c r="F10" s="3038">
        <v>5.3</v>
      </c>
      <c r="G10" s="3039"/>
    </row>
    <row r="11" spans="2:7" ht="20.25" customHeight="1" x14ac:dyDescent="0.25">
      <c r="C11" s="652" t="s">
        <v>908</v>
      </c>
      <c r="D11" s="3038">
        <v>2.48</v>
      </c>
      <c r="E11" s="3038"/>
      <c r="F11" s="3038">
        <v>5.56</v>
      </c>
      <c r="G11" s="3039"/>
    </row>
    <row r="12" spans="2:7" ht="20.25" customHeight="1" x14ac:dyDescent="0.25">
      <c r="C12" s="652" t="s">
        <v>909</v>
      </c>
      <c r="D12" s="3038">
        <v>2.89</v>
      </c>
      <c r="E12" s="3038"/>
      <c r="F12" s="3038">
        <v>6.3</v>
      </c>
      <c r="G12" s="3039"/>
    </row>
    <row r="13" spans="2:7" ht="20.25" customHeight="1" x14ac:dyDescent="0.25">
      <c r="C13" s="653" t="s">
        <v>910</v>
      </c>
      <c r="D13" s="3038">
        <v>3.06</v>
      </c>
      <c r="E13" s="3038"/>
      <c r="F13" s="3038">
        <v>6.78</v>
      </c>
      <c r="G13" s="3039"/>
    </row>
    <row r="14" spans="2:7" ht="20.25" customHeight="1" x14ac:dyDescent="0.25">
      <c r="C14" s="652" t="s">
        <v>911</v>
      </c>
      <c r="D14" s="3038">
        <v>3.36</v>
      </c>
      <c r="E14" s="3038"/>
      <c r="F14" s="3038">
        <v>7.67</v>
      </c>
      <c r="G14" s="3039"/>
    </row>
    <row r="15" spans="2:7" ht="22.5" customHeight="1" x14ac:dyDescent="0.25">
      <c r="B15" s="1454" t="s">
        <v>2517</v>
      </c>
      <c r="C15" s="653" t="s">
        <v>912</v>
      </c>
      <c r="D15" s="3038">
        <v>3.69</v>
      </c>
      <c r="E15" s="3038"/>
      <c r="F15" s="3038">
        <v>9.32</v>
      </c>
      <c r="G15" s="3039"/>
    </row>
    <row r="16" spans="2:7" ht="20.25" customHeight="1" x14ac:dyDescent="0.25">
      <c r="C16" s="653" t="s">
        <v>913</v>
      </c>
      <c r="D16" s="3038">
        <v>3.23</v>
      </c>
      <c r="E16" s="3038"/>
      <c r="F16" s="3038">
        <v>8.43</v>
      </c>
      <c r="G16" s="3039"/>
    </row>
    <row r="17" spans="3:7" ht="20.25" customHeight="1" x14ac:dyDescent="0.25">
      <c r="C17" s="653" t="s">
        <v>914</v>
      </c>
      <c r="D17" s="3038">
        <v>2.39</v>
      </c>
      <c r="E17" s="3038"/>
      <c r="F17" s="3038">
        <v>5.61</v>
      </c>
      <c r="G17" s="3039"/>
    </row>
    <row r="18" spans="3:7" ht="20.25" customHeight="1" x14ac:dyDescent="0.25">
      <c r="C18" s="653" t="s">
        <v>915</v>
      </c>
      <c r="D18" s="3038">
        <v>1.79</v>
      </c>
      <c r="E18" s="3038"/>
      <c r="F18" s="3038">
        <v>4.0599999999999996</v>
      </c>
      <c r="G18" s="3039"/>
    </row>
    <row r="19" spans="3:7" ht="20.25" customHeight="1" x14ac:dyDescent="0.25">
      <c r="C19" s="653" t="s">
        <v>916</v>
      </c>
      <c r="D19" s="3038">
        <v>1.79</v>
      </c>
      <c r="E19" s="3038"/>
      <c r="F19" s="3038">
        <v>3.62</v>
      </c>
      <c r="G19" s="3039"/>
    </row>
    <row r="20" spans="3:7" ht="20.25" customHeight="1" x14ac:dyDescent="0.25">
      <c r="C20" s="653" t="s">
        <v>917</v>
      </c>
      <c r="D20" s="3038">
        <v>2.9</v>
      </c>
      <c r="E20" s="3038"/>
      <c r="F20" s="3038">
        <v>6.13</v>
      </c>
      <c r="G20" s="3039"/>
    </row>
    <row r="21" spans="3:7" ht="20.25" customHeight="1" x14ac:dyDescent="0.25">
      <c r="C21" s="653" t="s">
        <v>918</v>
      </c>
      <c r="D21" s="3038">
        <v>6.1</v>
      </c>
      <c r="E21" s="3038"/>
      <c r="F21" s="3038">
        <v>9.92</v>
      </c>
      <c r="G21" s="3039"/>
    </row>
    <row r="22" spans="3:7" ht="20.25" customHeight="1" x14ac:dyDescent="0.25">
      <c r="C22" s="653" t="s">
        <v>919</v>
      </c>
      <c r="D22" s="3038">
        <v>8.57</v>
      </c>
      <c r="E22" s="3038"/>
      <c r="F22" s="3038">
        <v>12.46</v>
      </c>
      <c r="G22" s="3039"/>
    </row>
    <row r="23" spans="3:7" ht="20.25" customHeight="1" x14ac:dyDescent="0.25">
      <c r="C23" s="653" t="s">
        <v>920</v>
      </c>
      <c r="D23" s="3038">
        <v>9.16</v>
      </c>
      <c r="E23" s="3038"/>
      <c r="F23" s="3038">
        <v>12.12</v>
      </c>
      <c r="G23" s="3039"/>
    </row>
    <row r="24" spans="3:7" ht="20.25" customHeight="1" x14ac:dyDescent="0.25">
      <c r="C24" s="654"/>
      <c r="D24" s="655"/>
      <c r="E24" s="655"/>
      <c r="F24" s="655"/>
      <c r="G24" s="656"/>
    </row>
    <row r="25" spans="3:7" ht="16.5" customHeight="1" x14ac:dyDescent="0.25">
      <c r="C25" s="654"/>
      <c r="D25" s="655"/>
      <c r="E25" s="655"/>
      <c r="F25" s="655"/>
      <c r="G25" s="656"/>
    </row>
    <row r="26" spans="3:7" ht="60.75" x14ac:dyDescent="0.25">
      <c r="C26" s="828" t="s">
        <v>900</v>
      </c>
      <c r="D26" s="829" t="s">
        <v>2305</v>
      </c>
      <c r="E26" s="829" t="s">
        <v>2306</v>
      </c>
      <c r="F26" s="830" t="s">
        <v>900</v>
      </c>
      <c r="G26" s="831" t="s">
        <v>921</v>
      </c>
    </row>
    <row r="27" spans="3:7" ht="20.25" customHeight="1" x14ac:dyDescent="0.25">
      <c r="C27" s="823" t="s">
        <v>922</v>
      </c>
      <c r="D27" s="824">
        <v>7.92</v>
      </c>
      <c r="E27" s="3023">
        <v>6.5</v>
      </c>
      <c r="F27" s="3040" t="s">
        <v>923</v>
      </c>
      <c r="G27" s="3041">
        <v>12.12</v>
      </c>
    </row>
    <row r="28" spans="3:7" ht="20.25" customHeight="1" x14ac:dyDescent="0.25">
      <c r="C28" s="823" t="s">
        <v>924</v>
      </c>
      <c r="D28" s="824">
        <v>8.27</v>
      </c>
      <c r="E28" s="3024"/>
      <c r="F28" s="3040"/>
      <c r="G28" s="3041"/>
    </row>
    <row r="29" spans="3:7" ht="20.25" customHeight="1" x14ac:dyDescent="0.25">
      <c r="C29" s="823" t="s">
        <v>925</v>
      </c>
      <c r="D29" s="824">
        <v>7.58</v>
      </c>
      <c r="E29" s="3024"/>
      <c r="F29" s="3040"/>
      <c r="G29" s="3041"/>
    </row>
    <row r="30" spans="3:7" ht="20.25" customHeight="1" x14ac:dyDescent="0.25">
      <c r="C30" s="823" t="s">
        <v>926</v>
      </c>
      <c r="D30" s="824">
        <v>7.48</v>
      </c>
      <c r="E30" s="3024"/>
      <c r="F30" s="3040"/>
      <c r="G30" s="3041"/>
    </row>
    <row r="31" spans="3:7" ht="20.25" customHeight="1" x14ac:dyDescent="0.25">
      <c r="C31" s="823" t="s">
        <v>927</v>
      </c>
      <c r="D31" s="824">
        <v>7.85</v>
      </c>
      <c r="E31" s="3024"/>
      <c r="F31" s="3040"/>
      <c r="G31" s="3041"/>
    </row>
    <row r="32" spans="3:7" ht="21" x14ac:dyDescent="0.25">
      <c r="C32" s="823" t="s">
        <v>928</v>
      </c>
      <c r="D32" s="825">
        <v>8.6</v>
      </c>
      <c r="E32" s="3024"/>
      <c r="F32" s="3040"/>
      <c r="G32" s="3041"/>
    </row>
    <row r="33" spans="3:7" ht="20.25" customHeight="1" x14ac:dyDescent="0.25">
      <c r="C33" s="826" t="s">
        <v>929</v>
      </c>
      <c r="D33" s="825">
        <v>9.1999999999999993</v>
      </c>
      <c r="E33" s="3024"/>
      <c r="F33" s="3040" t="s">
        <v>930</v>
      </c>
      <c r="G33" s="3042">
        <v>9.9600000000000009</v>
      </c>
    </row>
    <row r="34" spans="3:7" ht="20.25" customHeight="1" x14ac:dyDescent="0.25">
      <c r="C34" s="826" t="s">
        <v>931</v>
      </c>
      <c r="D34" s="824">
        <v>9.1199999999999992</v>
      </c>
      <c r="E34" s="3024"/>
      <c r="F34" s="3040"/>
      <c r="G34" s="3043"/>
    </row>
    <row r="35" spans="3:7" ht="20.25" customHeight="1" x14ac:dyDescent="0.25">
      <c r="C35" s="826" t="s">
        <v>932</v>
      </c>
      <c r="D35" s="825">
        <v>8.4700000000000006</v>
      </c>
      <c r="E35" s="3024"/>
      <c r="F35" s="3040"/>
      <c r="G35" s="3043"/>
    </row>
    <row r="36" spans="3:7" ht="20.25" customHeight="1" x14ac:dyDescent="0.25">
      <c r="C36" s="826" t="s">
        <v>933</v>
      </c>
      <c r="D36" s="825">
        <v>7.82</v>
      </c>
      <c r="E36" s="3024"/>
      <c r="F36" s="3040"/>
      <c r="G36" s="3043"/>
    </row>
    <row r="37" spans="3:7" ht="20.25" customHeight="1" x14ac:dyDescent="0.25">
      <c r="C37" s="826" t="s">
        <v>934</v>
      </c>
      <c r="D37" s="824">
        <v>7.85</v>
      </c>
      <c r="E37" s="3024"/>
      <c r="F37" s="3040"/>
      <c r="G37" s="3043"/>
    </row>
    <row r="38" spans="3:7" ht="20.25" customHeight="1" x14ac:dyDescent="0.25">
      <c r="C38" s="826" t="s">
        <v>935</v>
      </c>
      <c r="D38" s="825">
        <v>8.17</v>
      </c>
      <c r="E38" s="3024"/>
      <c r="F38" s="3040"/>
      <c r="G38" s="3044"/>
    </row>
    <row r="39" spans="3:7" ht="20.25" customHeight="1" x14ac:dyDescent="0.25">
      <c r="C39" s="823" t="s">
        <v>936</v>
      </c>
      <c r="D39" s="825">
        <v>8.3800000000000008</v>
      </c>
      <c r="E39" s="3024"/>
      <c r="F39" s="3020" t="s">
        <v>937</v>
      </c>
      <c r="G39" s="3042">
        <v>9.8699999999999992</v>
      </c>
    </row>
    <row r="40" spans="3:7" ht="20.25" customHeight="1" x14ac:dyDescent="0.25">
      <c r="C40" s="823" t="s">
        <v>938</v>
      </c>
      <c r="D40" s="827">
        <v>8.9</v>
      </c>
      <c r="E40" s="3024"/>
      <c r="F40" s="3021"/>
      <c r="G40" s="3043"/>
    </row>
    <row r="41" spans="3:7" ht="20.25" customHeight="1" x14ac:dyDescent="0.25">
      <c r="C41" s="823" t="s">
        <v>939</v>
      </c>
      <c r="D41" s="827">
        <v>8.44</v>
      </c>
      <c r="E41" s="3024"/>
      <c r="F41" s="3021"/>
      <c r="G41" s="3043"/>
    </row>
    <row r="42" spans="3:7" ht="20.25" customHeight="1" x14ac:dyDescent="0.25">
      <c r="C42" s="823" t="s">
        <v>940</v>
      </c>
      <c r="D42" s="827">
        <v>8.24</v>
      </c>
      <c r="E42" s="3024"/>
      <c r="F42" s="3021"/>
      <c r="G42" s="3043"/>
    </row>
    <row r="43" spans="3:7" ht="20.25" customHeight="1" x14ac:dyDescent="0.25">
      <c r="C43" s="823" t="s">
        <v>941</v>
      </c>
      <c r="D43" s="827">
        <v>8.51</v>
      </c>
      <c r="E43" s="3024"/>
      <c r="F43" s="3021"/>
      <c r="G43" s="3043"/>
    </row>
    <row r="44" spans="3:7" ht="21" x14ac:dyDescent="0.25">
      <c r="C44" s="823" t="s">
        <v>942</v>
      </c>
      <c r="D44" s="827">
        <v>7.85</v>
      </c>
      <c r="E44" s="3024"/>
      <c r="F44" s="3022"/>
      <c r="G44" s="3044"/>
    </row>
    <row r="45" spans="3:7" ht="20.25" customHeight="1" x14ac:dyDescent="0.25">
      <c r="C45" s="826" t="s">
        <v>943</v>
      </c>
      <c r="D45" s="827">
        <v>7.48</v>
      </c>
      <c r="E45" s="3024"/>
      <c r="F45" s="3040" t="s">
        <v>944</v>
      </c>
      <c r="G45" s="3019">
        <v>10.16</v>
      </c>
    </row>
    <row r="46" spans="3:7" ht="20.25" customHeight="1" x14ac:dyDescent="0.25">
      <c r="C46" s="826" t="s">
        <v>2364</v>
      </c>
      <c r="D46" s="825">
        <v>7.53</v>
      </c>
      <c r="E46" s="3024"/>
      <c r="F46" s="3040"/>
      <c r="G46" s="3019"/>
    </row>
    <row r="47" spans="3:7" ht="20.25" customHeight="1" x14ac:dyDescent="0.25">
      <c r="C47" s="826" t="s">
        <v>2315</v>
      </c>
      <c r="D47" s="825">
        <v>7.29</v>
      </c>
      <c r="E47" s="3024"/>
      <c r="F47" s="3040"/>
      <c r="G47" s="3019"/>
    </row>
    <row r="48" spans="3:7" ht="20.25" customHeight="1" x14ac:dyDescent="0.25">
      <c r="C48" s="826" t="s">
        <v>2316</v>
      </c>
      <c r="D48" s="825">
        <v>7.3</v>
      </c>
      <c r="E48" s="3024"/>
      <c r="F48" s="3040"/>
      <c r="G48" s="3019"/>
    </row>
    <row r="49" spans="3:7" ht="20.25" customHeight="1" x14ac:dyDescent="0.25">
      <c r="C49" s="826" t="s">
        <v>2365</v>
      </c>
      <c r="D49" s="825">
        <v>7.94</v>
      </c>
      <c r="E49" s="3024"/>
      <c r="F49" s="3040"/>
      <c r="G49" s="3019"/>
    </row>
    <row r="50" spans="3:7" ht="20.25" customHeight="1" x14ac:dyDescent="0.25">
      <c r="C50" s="826" t="s">
        <v>2317</v>
      </c>
      <c r="D50" s="825">
        <v>7.8</v>
      </c>
      <c r="E50" s="3024"/>
      <c r="F50" s="3040"/>
      <c r="G50" s="3019"/>
    </row>
    <row r="51" spans="3:7" ht="20.25" customHeight="1" x14ac:dyDescent="0.25">
      <c r="C51" s="1370" t="s">
        <v>2366</v>
      </c>
      <c r="D51" s="825">
        <v>7.26</v>
      </c>
      <c r="E51" s="3023">
        <v>6.75</v>
      </c>
      <c r="F51" s="3020" t="s">
        <v>2367</v>
      </c>
      <c r="G51" s="3023">
        <v>10.039999999999999</v>
      </c>
    </row>
    <row r="52" spans="3:7" ht="20.25" customHeight="1" x14ac:dyDescent="0.25">
      <c r="C52" s="1370" t="s">
        <v>2382</v>
      </c>
      <c r="D52" s="825">
        <v>6.93</v>
      </c>
      <c r="E52" s="3025"/>
      <c r="F52" s="3021"/>
      <c r="G52" s="3024"/>
    </row>
    <row r="53" spans="3:7" ht="20.25" customHeight="1" x14ac:dyDescent="0.25">
      <c r="C53" s="1371" t="s">
        <v>2458</v>
      </c>
      <c r="D53" s="825">
        <v>6.41</v>
      </c>
      <c r="E53" s="825">
        <v>6.41</v>
      </c>
      <c r="F53" s="3021"/>
      <c r="G53" s="3024"/>
    </row>
    <row r="54" spans="3:7" ht="20.25" customHeight="1" x14ac:dyDescent="0.25">
      <c r="C54" s="1371" t="s">
        <v>2459</v>
      </c>
      <c r="D54" s="825">
        <v>6.89</v>
      </c>
      <c r="E54" s="3023">
        <v>6.75</v>
      </c>
      <c r="F54" s="3021"/>
      <c r="G54" s="3024"/>
    </row>
    <row r="55" spans="3:7" ht="20.25" customHeight="1" x14ac:dyDescent="0.25">
      <c r="C55" s="823" t="s">
        <v>2460</v>
      </c>
      <c r="D55" s="825">
        <v>7.02</v>
      </c>
      <c r="E55" s="3024"/>
      <c r="F55" s="3021"/>
      <c r="G55" s="3024"/>
    </row>
    <row r="56" spans="3:7" ht="20.25" customHeight="1" x14ac:dyDescent="0.25">
      <c r="C56" s="823" t="s">
        <v>2461</v>
      </c>
      <c r="D56" s="825">
        <v>6.99</v>
      </c>
      <c r="E56" s="3024"/>
      <c r="F56" s="3022"/>
      <c r="G56" s="3025"/>
    </row>
    <row r="57" spans="3:7" ht="20.25" customHeight="1" x14ac:dyDescent="0.25">
      <c r="C57" s="826" t="s">
        <v>2462</v>
      </c>
      <c r="D57" s="825">
        <v>6.96</v>
      </c>
      <c r="E57" s="3025"/>
      <c r="F57" s="3020" t="s">
        <v>2463</v>
      </c>
      <c r="G57" s="3023">
        <v>9.7200000000000006</v>
      </c>
    </row>
    <row r="58" spans="3:7" ht="20.25" customHeight="1" x14ac:dyDescent="0.25">
      <c r="C58" s="826" t="s">
        <v>2829</v>
      </c>
      <c r="D58" s="825">
        <v>6.55</v>
      </c>
      <c r="E58" s="825">
        <v>6.55</v>
      </c>
      <c r="F58" s="3021"/>
      <c r="G58" s="3024"/>
    </row>
    <row r="59" spans="3:7" ht="20.25" customHeight="1" x14ac:dyDescent="0.25">
      <c r="C59" s="826" t="s">
        <v>2830</v>
      </c>
      <c r="D59" s="825">
        <v>6.48</v>
      </c>
      <c r="E59" s="825">
        <v>6.48</v>
      </c>
      <c r="F59" s="3021"/>
      <c r="G59" s="3024"/>
    </row>
    <row r="60" spans="3:7" ht="20.25" customHeight="1" x14ac:dyDescent="0.25">
      <c r="C60" s="826" t="s">
        <v>2831</v>
      </c>
      <c r="D60" s="825">
        <v>6.25</v>
      </c>
      <c r="E60" s="825">
        <v>6.25</v>
      </c>
      <c r="F60" s="3021"/>
      <c r="G60" s="3024"/>
    </row>
    <row r="61" spans="3:7" ht="20.25" customHeight="1" x14ac:dyDescent="0.25">
      <c r="C61" s="826" t="s">
        <v>2832</v>
      </c>
      <c r="D61" s="825">
        <v>6.21</v>
      </c>
      <c r="E61" s="825">
        <v>6.21</v>
      </c>
      <c r="F61" s="3021"/>
      <c r="G61" s="3024"/>
    </row>
    <row r="62" spans="3:7" ht="20.25" customHeight="1" x14ac:dyDescent="0.25">
      <c r="C62" s="826" t="s">
        <v>2833</v>
      </c>
      <c r="D62" s="825">
        <v>6.81</v>
      </c>
      <c r="E62" s="824">
        <v>6.75</v>
      </c>
      <c r="F62" s="3022"/>
      <c r="G62" s="3025"/>
    </row>
    <row r="63" spans="3:7" ht="20.25" customHeight="1" x14ac:dyDescent="0.25">
      <c r="C63" s="1370" t="s">
        <v>2834</v>
      </c>
      <c r="D63" s="825">
        <v>10.76</v>
      </c>
      <c r="E63" s="3035">
        <v>7</v>
      </c>
      <c r="F63" s="3020" t="s">
        <v>2835</v>
      </c>
      <c r="G63" s="3035">
        <v>8.9</v>
      </c>
    </row>
    <row r="64" spans="3:7" ht="20.25" customHeight="1" x14ac:dyDescent="0.25">
      <c r="C64" s="1370" t="s">
        <v>2836</v>
      </c>
      <c r="D64" s="825">
        <v>11.59</v>
      </c>
      <c r="E64" s="3036"/>
      <c r="F64" s="3021"/>
      <c r="G64" s="3036"/>
    </row>
    <row r="65" spans="3:10" ht="20.25" customHeight="1" x14ac:dyDescent="0.25">
      <c r="C65" s="2312" t="s">
        <v>2955</v>
      </c>
      <c r="D65" s="2313">
        <v>10.93</v>
      </c>
      <c r="E65" s="3036"/>
      <c r="F65" s="3021"/>
      <c r="G65" s="3036"/>
    </row>
    <row r="66" spans="3:10" ht="20.25" customHeight="1" x14ac:dyDescent="0.25">
      <c r="C66" s="2312" t="s">
        <v>2956</v>
      </c>
      <c r="D66" s="2313">
        <v>8.73</v>
      </c>
      <c r="E66" s="3037"/>
      <c r="F66" s="3022"/>
      <c r="G66" s="3037"/>
    </row>
    <row r="67" spans="3:10" ht="20.25" customHeight="1" x14ac:dyDescent="0.25">
      <c r="C67" s="3032" t="s">
        <v>945</v>
      </c>
      <c r="D67" s="3033"/>
      <c r="E67" s="3033"/>
      <c r="F67" s="3033"/>
      <c r="G67" s="3034"/>
    </row>
    <row r="68" spans="3:10" ht="34.5" customHeight="1" x14ac:dyDescent="0.25">
      <c r="C68" s="3026" t="s">
        <v>2837</v>
      </c>
      <c r="D68" s="3027"/>
      <c r="E68" s="3027"/>
      <c r="F68" s="3027"/>
      <c r="G68" s="3028"/>
    </row>
    <row r="69" spans="3:10" ht="48.75" customHeight="1" x14ac:dyDescent="0.25">
      <c r="C69" s="3029" t="s">
        <v>946</v>
      </c>
      <c r="D69" s="3030"/>
      <c r="E69" s="3030"/>
      <c r="F69" s="3030"/>
      <c r="G69" s="3031"/>
    </row>
    <row r="70" spans="3:10" ht="26.25" customHeight="1" x14ac:dyDescent="0.25">
      <c r="C70" s="3016" t="s">
        <v>2307</v>
      </c>
      <c r="D70" s="3017"/>
      <c r="E70" s="3017"/>
      <c r="F70" s="3017"/>
      <c r="G70" s="3018"/>
    </row>
    <row r="71" spans="3:10" ht="20.25" customHeight="1" x14ac:dyDescent="0.35">
      <c r="C71" s="657"/>
      <c r="D71" s="658"/>
      <c r="E71" s="659"/>
      <c r="F71" s="659"/>
      <c r="G71" s="650"/>
      <c r="H71" s="880"/>
      <c r="I71" s="880"/>
      <c r="J71" s="880"/>
    </row>
    <row r="72" spans="3:10" ht="20.25" customHeight="1" x14ac:dyDescent="0.35">
      <c r="C72" s="657"/>
      <c r="D72" s="658"/>
      <c r="E72" s="659"/>
      <c r="F72" s="659"/>
      <c r="G72" s="650"/>
      <c r="H72" s="880"/>
      <c r="I72" s="880"/>
      <c r="J72" s="880"/>
    </row>
    <row r="73" spans="3:10" ht="1.5" customHeight="1" x14ac:dyDescent="0.35">
      <c r="C73" s="657"/>
      <c r="D73" s="658"/>
      <c r="E73" s="659"/>
      <c r="F73" s="659"/>
      <c r="G73" s="650"/>
      <c r="H73" s="880"/>
      <c r="I73" s="880"/>
      <c r="J73" s="880"/>
    </row>
    <row r="74" spans="3:10" ht="20.25" customHeight="1" x14ac:dyDescent="0.35">
      <c r="C74" s="657"/>
      <c r="D74" s="659"/>
      <c r="E74" s="659"/>
      <c r="F74" s="659"/>
      <c r="G74" s="650"/>
      <c r="H74" s="880"/>
      <c r="I74" s="880"/>
      <c r="J74" s="880"/>
    </row>
    <row r="75" spans="3:10" ht="20.25" customHeight="1" x14ac:dyDescent="0.35">
      <c r="C75" s="657"/>
      <c r="D75" s="659"/>
      <c r="E75" s="659"/>
      <c r="F75" s="659"/>
      <c r="G75" s="650"/>
      <c r="H75" s="880"/>
      <c r="I75" s="880"/>
      <c r="J75" s="880"/>
    </row>
    <row r="76" spans="3:10" ht="20.25" customHeight="1" x14ac:dyDescent="0.35">
      <c r="C76" s="657"/>
      <c r="D76" s="659"/>
      <c r="E76" s="659"/>
      <c r="F76" s="659"/>
      <c r="G76" s="650"/>
      <c r="H76" s="880"/>
      <c r="I76" s="880"/>
      <c r="J76" s="880"/>
    </row>
    <row r="77" spans="3:10" ht="20.25" customHeight="1" x14ac:dyDescent="0.35">
      <c r="C77" s="657"/>
      <c r="D77" s="659"/>
      <c r="E77" s="659"/>
      <c r="F77" s="659"/>
      <c r="G77" s="650"/>
      <c r="H77" s="880"/>
      <c r="I77" s="880"/>
      <c r="J77" s="880"/>
    </row>
    <row r="78" spans="3:10" ht="20.25" customHeight="1" x14ac:dyDescent="0.35">
      <c r="C78" s="657"/>
      <c r="D78" s="659"/>
      <c r="E78" s="659"/>
      <c r="F78" s="659"/>
      <c r="G78" s="650"/>
      <c r="H78" s="880"/>
      <c r="I78" s="880"/>
      <c r="J78" s="880"/>
    </row>
    <row r="79" spans="3:10" ht="20.25" customHeight="1" x14ac:dyDescent="0.35">
      <c r="C79" s="657"/>
      <c r="D79" s="659"/>
      <c r="E79" s="659"/>
      <c r="F79" s="659"/>
      <c r="G79" s="650"/>
      <c r="H79" s="880"/>
      <c r="I79" s="880"/>
      <c r="J79" s="880"/>
    </row>
    <row r="80" spans="3:10" ht="20.25" customHeight="1" x14ac:dyDescent="0.35">
      <c r="C80" s="657"/>
      <c r="D80" s="659"/>
      <c r="E80" s="659"/>
      <c r="F80" s="659"/>
      <c r="G80" s="650"/>
      <c r="H80" s="880"/>
      <c r="I80" s="880"/>
      <c r="J80" s="880"/>
    </row>
    <row r="81" spans="3:10" ht="20.25" customHeight="1" x14ac:dyDescent="0.35">
      <c r="C81" s="657"/>
      <c r="D81" s="659"/>
      <c r="E81" s="659"/>
      <c r="F81" s="659"/>
      <c r="G81" s="650"/>
      <c r="H81" s="880"/>
      <c r="I81" s="880"/>
      <c r="J81" s="880"/>
    </row>
    <row r="82" spans="3:10" ht="20.25" customHeight="1" x14ac:dyDescent="0.35">
      <c r="C82" s="657"/>
      <c r="D82" s="659"/>
      <c r="E82" s="659"/>
      <c r="F82" s="659"/>
      <c r="G82" s="650"/>
      <c r="H82" s="880"/>
      <c r="I82" s="880"/>
      <c r="J82" s="880"/>
    </row>
    <row r="83" spans="3:10" ht="20.25" customHeight="1" x14ac:dyDescent="0.35">
      <c r="C83" s="657"/>
      <c r="D83" s="659"/>
      <c r="E83" s="659"/>
      <c r="F83" s="659"/>
      <c r="G83" s="650"/>
      <c r="H83" s="880"/>
      <c r="I83" s="880"/>
      <c r="J83" s="880"/>
    </row>
    <row r="84" spans="3:10" ht="20.25" customHeight="1" x14ac:dyDescent="0.35">
      <c r="C84" s="657"/>
      <c r="D84" s="659"/>
      <c r="E84" s="659"/>
      <c r="F84" s="659"/>
      <c r="G84" s="650"/>
      <c r="H84" s="880"/>
      <c r="I84" s="880"/>
      <c r="J84" s="880"/>
    </row>
    <row r="85" spans="3:10" ht="20.25" customHeight="1" x14ac:dyDescent="0.35">
      <c r="C85" s="657"/>
      <c r="D85" s="659"/>
      <c r="E85" s="659"/>
      <c r="F85" s="659"/>
      <c r="G85" s="650"/>
      <c r="H85" s="880"/>
      <c r="I85" s="880"/>
      <c r="J85" s="880"/>
    </row>
    <row r="86" spans="3:10" ht="20.25" customHeight="1" x14ac:dyDescent="0.35">
      <c r="C86" s="657"/>
      <c r="D86" s="659"/>
      <c r="E86" s="659"/>
      <c r="F86" s="659"/>
      <c r="G86" s="650"/>
      <c r="H86" s="880"/>
      <c r="I86" s="880"/>
      <c r="J86" s="880"/>
    </row>
    <row r="87" spans="3:10" ht="20.25" customHeight="1" x14ac:dyDescent="0.35">
      <c r="C87" s="657"/>
      <c r="D87" s="659"/>
      <c r="E87" s="659"/>
      <c r="F87" s="659"/>
      <c r="G87" s="650"/>
      <c r="H87" s="880"/>
      <c r="I87" s="880"/>
      <c r="J87" s="880"/>
    </row>
    <row r="88" spans="3:10" ht="20.25" customHeight="1" x14ac:dyDescent="0.35">
      <c r="C88" s="657"/>
      <c r="D88" s="659"/>
      <c r="E88" s="659"/>
      <c r="F88" s="659"/>
      <c r="G88" s="650"/>
      <c r="H88" s="880"/>
      <c r="I88" s="880"/>
      <c r="J88" s="880"/>
    </row>
    <row r="89" spans="3:10" ht="20.25" customHeight="1" x14ac:dyDescent="0.35">
      <c r="C89" s="657"/>
      <c r="D89" s="659"/>
      <c r="E89" s="659"/>
      <c r="F89" s="659"/>
      <c r="G89" s="650"/>
      <c r="H89" s="880"/>
      <c r="I89" s="880"/>
      <c r="J89" s="880"/>
    </row>
    <row r="90" spans="3:10" ht="20.25" customHeight="1" thickBot="1" x14ac:dyDescent="0.4">
      <c r="C90" s="660"/>
      <c r="D90" s="661"/>
      <c r="E90" s="661"/>
      <c r="F90" s="661"/>
      <c r="G90" s="662"/>
      <c r="H90" s="880"/>
      <c r="I90" s="880"/>
      <c r="J90" s="880"/>
    </row>
    <row r="91" spans="3:10" ht="20.25" customHeight="1" x14ac:dyDescent="0.25"/>
    <row r="92" spans="3:10" ht="20.25" customHeight="1" x14ac:dyDescent="0.25"/>
  </sheetData>
  <mergeCells count="61">
    <mergeCell ref="D7:E7"/>
    <mergeCell ref="F7:G7"/>
    <mergeCell ref="C3:G3"/>
    <mergeCell ref="D5:E5"/>
    <mergeCell ref="F5:G5"/>
    <mergeCell ref="D6:E6"/>
    <mergeCell ref="F6:G6"/>
    <mergeCell ref="D8:E8"/>
    <mergeCell ref="F8:G8"/>
    <mergeCell ref="D9:E9"/>
    <mergeCell ref="F9:G9"/>
    <mergeCell ref="D10:E10"/>
    <mergeCell ref="F10:G10"/>
    <mergeCell ref="D11:E11"/>
    <mergeCell ref="F11:G11"/>
    <mergeCell ref="D12:E12"/>
    <mergeCell ref="F12:G12"/>
    <mergeCell ref="D13:E13"/>
    <mergeCell ref="F13:G13"/>
    <mergeCell ref="D14:E14"/>
    <mergeCell ref="F14:G14"/>
    <mergeCell ref="D15:E15"/>
    <mergeCell ref="F15:G15"/>
    <mergeCell ref="D16:E16"/>
    <mergeCell ref="F16:G16"/>
    <mergeCell ref="D17:E17"/>
    <mergeCell ref="F17:G17"/>
    <mergeCell ref="D18:E18"/>
    <mergeCell ref="F18:G18"/>
    <mergeCell ref="D19:E19"/>
    <mergeCell ref="F19:G19"/>
    <mergeCell ref="D20:E20"/>
    <mergeCell ref="F20:G20"/>
    <mergeCell ref="D21:E21"/>
    <mergeCell ref="F21:G21"/>
    <mergeCell ref="D22:E22"/>
    <mergeCell ref="F22:G22"/>
    <mergeCell ref="D23:E23"/>
    <mergeCell ref="F23:G23"/>
    <mergeCell ref="E27:E50"/>
    <mergeCell ref="F27:F32"/>
    <mergeCell ref="G27:G32"/>
    <mergeCell ref="F33:F38"/>
    <mergeCell ref="G33:G38"/>
    <mergeCell ref="F39:F44"/>
    <mergeCell ref="G39:G44"/>
    <mergeCell ref="F45:F50"/>
    <mergeCell ref="C70:G70"/>
    <mergeCell ref="G45:G50"/>
    <mergeCell ref="F51:F56"/>
    <mergeCell ref="G51:G56"/>
    <mergeCell ref="C68:G68"/>
    <mergeCell ref="C69:G69"/>
    <mergeCell ref="C67:G67"/>
    <mergeCell ref="E51:E52"/>
    <mergeCell ref="E54:E57"/>
    <mergeCell ref="F57:F62"/>
    <mergeCell ref="G57:G62"/>
    <mergeCell ref="E63:E66"/>
    <mergeCell ref="F63:F66"/>
    <mergeCell ref="G63:G66"/>
  </mergeCells>
  <pageMargins left="0.70866141732283472" right="0.70866141732283472" top="0.74803149606299213" bottom="0.74803149606299213" header="0.31496062992125984" footer="0.31496062992125984"/>
  <pageSetup paperSize="9" scale="37" orientation="portrait" r:id="rId1"/>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FF2751-D308-4ED9-9FC6-373CE65887F1}">
  <sheetPr>
    <tabColor theme="0"/>
    <pageSetUpPr fitToPage="1"/>
  </sheetPr>
  <dimension ref="B4:T72"/>
  <sheetViews>
    <sheetView showGridLines="0" view="pageLayout" topLeftCell="C4" zoomScale="60" zoomScaleNormal="100" zoomScalePageLayoutView="60" workbookViewId="0">
      <selection activeCell="B81" sqref="B81"/>
    </sheetView>
  </sheetViews>
  <sheetFormatPr defaultColWidth="9.140625" defaultRowHeight="15.75" x14ac:dyDescent="0.25"/>
  <cols>
    <col min="1" max="2" width="0" style="390" hidden="1" customWidth="1"/>
    <col min="3" max="3" width="52.28515625" style="390" customWidth="1"/>
    <col min="4" max="4" width="21.42578125" style="390" customWidth="1"/>
    <col min="5" max="5" width="19.42578125" style="390" customWidth="1"/>
    <col min="6" max="6" width="21.42578125" style="390" customWidth="1"/>
    <col min="7" max="7" width="19" style="390" customWidth="1"/>
    <col min="8" max="8" width="17.7109375" style="390" customWidth="1"/>
    <col min="9" max="9" width="0.7109375" style="390" customWidth="1"/>
    <col min="10" max="16384" width="9.140625" style="390"/>
  </cols>
  <sheetData>
    <row r="4" spans="2:9" ht="16.5" thickBot="1" x14ac:dyDescent="0.3"/>
    <row r="5" spans="2:9" ht="23.25" x14ac:dyDescent="0.35">
      <c r="B5" s="112"/>
      <c r="C5" s="3052" t="s">
        <v>2959</v>
      </c>
      <c r="D5" s="3053"/>
      <c r="E5" s="3053"/>
      <c r="F5" s="3053"/>
      <c r="G5" s="3053"/>
      <c r="H5" s="3054"/>
      <c r="I5" s="2161"/>
    </row>
    <row r="6" spans="2:9" ht="46.5" x14ac:dyDescent="0.35">
      <c r="B6" s="112"/>
      <c r="C6" s="2162" t="s">
        <v>401</v>
      </c>
      <c r="D6" s="2163" t="s">
        <v>947</v>
      </c>
      <c r="E6" s="2163" t="s">
        <v>948</v>
      </c>
      <c r="F6" s="2163" t="s">
        <v>2397</v>
      </c>
      <c r="G6" s="2163" t="s">
        <v>2454</v>
      </c>
      <c r="H6" s="2164" t="s">
        <v>949</v>
      </c>
      <c r="I6" s="2165"/>
    </row>
    <row r="7" spans="2:9" ht="23.25" x14ac:dyDescent="0.35">
      <c r="B7" s="112"/>
      <c r="C7" s="2166" t="s">
        <v>221</v>
      </c>
      <c r="D7" s="2167">
        <v>239614.55568065814</v>
      </c>
      <c r="E7" s="2167">
        <v>31159.730123701436</v>
      </c>
      <c r="F7" s="2167">
        <v>11013.568891491021</v>
      </c>
      <c r="G7" s="2167">
        <v>111566.76319582056</v>
      </c>
      <c r="H7" s="2168">
        <v>393354.61789167119</v>
      </c>
      <c r="I7" s="2165"/>
    </row>
    <row r="8" spans="2:9" ht="46.5" x14ac:dyDescent="0.35">
      <c r="B8" s="112"/>
      <c r="C8" s="2166" t="s">
        <v>417</v>
      </c>
      <c r="D8" s="2167">
        <v>67405.830435957483</v>
      </c>
      <c r="E8" s="2167">
        <v>1853.3415300546449</v>
      </c>
      <c r="F8" s="2167">
        <v>3174.3269380892339</v>
      </c>
      <c r="G8" s="2167">
        <v>195535.81317180087</v>
      </c>
      <c r="H8" s="2168">
        <v>267969.31207590224</v>
      </c>
      <c r="I8" s="2165"/>
    </row>
    <row r="9" spans="2:9" ht="23.25" x14ac:dyDescent="0.35">
      <c r="B9" s="112"/>
      <c r="C9" s="2169" t="s">
        <v>331</v>
      </c>
      <c r="D9" s="2167">
        <v>15147.635891430975</v>
      </c>
      <c r="E9" s="2167">
        <v>44431.900183150196</v>
      </c>
      <c r="F9" s="2167">
        <v>10979.078379271003</v>
      </c>
      <c r="G9" s="2167">
        <v>482986.22332312498</v>
      </c>
      <c r="H9" s="2168">
        <v>553544.8377769771</v>
      </c>
      <c r="I9" s="2165"/>
    </row>
    <row r="10" spans="2:9" ht="23.25" x14ac:dyDescent="0.35">
      <c r="B10" s="112"/>
      <c r="C10" s="2169" t="s">
        <v>426</v>
      </c>
      <c r="D10" s="2167">
        <v>483833.68505674653</v>
      </c>
      <c r="E10" s="2167">
        <v>27993.833438419504</v>
      </c>
      <c r="F10" s="2167">
        <v>3429.2019155707676</v>
      </c>
      <c r="G10" s="2167">
        <v>16169.274229868492</v>
      </c>
      <c r="H10" s="2168">
        <v>531425.99464060529</v>
      </c>
      <c r="I10" s="2165"/>
    </row>
    <row r="11" spans="2:9" ht="23.25" x14ac:dyDescent="0.35">
      <c r="B11" s="112"/>
      <c r="C11" s="2169" t="s">
        <v>442</v>
      </c>
      <c r="D11" s="2167">
        <v>21712.732105326366</v>
      </c>
      <c r="E11" s="2167">
        <v>1331.875923257071</v>
      </c>
      <c r="F11" s="2167">
        <v>270.38210832882964</v>
      </c>
      <c r="G11" s="2167">
        <v>125.57060289437339</v>
      </c>
      <c r="H11" s="2168">
        <v>23440.560739806642</v>
      </c>
      <c r="I11" s="2165"/>
    </row>
    <row r="12" spans="2:9" ht="23.25" x14ac:dyDescent="0.35">
      <c r="B12" s="112"/>
      <c r="C12" s="2170" t="s">
        <v>446</v>
      </c>
      <c r="D12" s="2167">
        <v>30235.28176604816</v>
      </c>
      <c r="E12" s="2167">
        <v>0</v>
      </c>
      <c r="F12" s="2167">
        <v>0</v>
      </c>
      <c r="G12" s="2167">
        <v>0</v>
      </c>
      <c r="H12" s="2168">
        <v>30235.28176604816</v>
      </c>
      <c r="I12" s="2165"/>
    </row>
    <row r="13" spans="2:9" ht="46.5" x14ac:dyDescent="0.35">
      <c r="B13" s="112"/>
      <c r="C13" s="2169" t="s">
        <v>449</v>
      </c>
      <c r="D13" s="2167">
        <v>170272.86708100641</v>
      </c>
      <c r="E13" s="2167">
        <v>11704.096288956944</v>
      </c>
      <c r="F13" s="2167">
        <v>7834.5924608178702</v>
      </c>
      <c r="G13" s="2167">
        <v>47245.505299345459</v>
      </c>
      <c r="H13" s="2168">
        <v>237057.06113012665</v>
      </c>
      <c r="I13" s="2165"/>
    </row>
    <row r="14" spans="2:9" ht="23.25" x14ac:dyDescent="0.35">
      <c r="B14" s="112"/>
      <c r="C14" s="2170" t="s">
        <v>452</v>
      </c>
      <c r="D14" s="2167">
        <v>7865.2975139614491</v>
      </c>
      <c r="E14" s="2167">
        <v>0.69230769230769229</v>
      </c>
      <c r="F14" s="2167">
        <v>0</v>
      </c>
      <c r="G14" s="2167">
        <v>28730.89095057948</v>
      </c>
      <c r="H14" s="2168">
        <v>36596.880772233235</v>
      </c>
      <c r="I14" s="2165"/>
    </row>
    <row r="15" spans="2:9" ht="24.75" customHeight="1" x14ac:dyDescent="0.35">
      <c r="B15" s="1732" t="s">
        <v>2519</v>
      </c>
      <c r="C15" s="2169" t="s">
        <v>455</v>
      </c>
      <c r="D15" s="2167">
        <v>25230.444034107968</v>
      </c>
      <c r="E15" s="2167">
        <v>3791.8354500690566</v>
      </c>
      <c r="F15" s="2167">
        <v>1018.7961178166096</v>
      </c>
      <c r="G15" s="2167">
        <v>144513.33306311176</v>
      </c>
      <c r="H15" s="2168">
        <v>174554.40866510538</v>
      </c>
      <c r="I15" s="2165"/>
    </row>
    <row r="16" spans="2:9" ht="23.25" x14ac:dyDescent="0.35">
      <c r="B16" s="112"/>
      <c r="C16" s="2166" t="s">
        <v>459</v>
      </c>
      <c r="D16" s="2167">
        <v>12540.143007265959</v>
      </c>
      <c r="E16" s="2167">
        <v>998.23306611421367</v>
      </c>
      <c r="F16" s="2167">
        <v>1963.2723233051101</v>
      </c>
      <c r="G16" s="2167">
        <v>86950.474704257504</v>
      </c>
      <c r="H16" s="2168">
        <v>102452.12310094279</v>
      </c>
      <c r="I16" s="2165"/>
    </row>
    <row r="17" spans="2:20" ht="23.25" x14ac:dyDescent="0.35">
      <c r="B17" s="112"/>
      <c r="C17" s="2166" t="s">
        <v>2455</v>
      </c>
      <c r="D17" s="2167">
        <v>4629041.1618176904</v>
      </c>
      <c r="E17" s="2167">
        <v>491127.92157569202</v>
      </c>
      <c r="F17" s="2167">
        <v>160520.12304089355</v>
      </c>
      <c r="G17" s="2167">
        <v>163671.71805380413</v>
      </c>
      <c r="H17" s="2168">
        <v>5444360.9244880788</v>
      </c>
      <c r="I17" s="2165"/>
    </row>
    <row r="18" spans="2:20" ht="23.25" x14ac:dyDescent="0.35">
      <c r="B18" s="112"/>
      <c r="C18" s="2169" t="s">
        <v>466</v>
      </c>
      <c r="D18" s="2167">
        <v>29462.366510538646</v>
      </c>
      <c r="E18" s="2167">
        <v>3422.9552182789885</v>
      </c>
      <c r="F18" s="2167">
        <v>1679.8215636822192</v>
      </c>
      <c r="G18" s="2167">
        <v>83720.66390440159</v>
      </c>
      <c r="H18" s="2168">
        <v>118285.80719690144</v>
      </c>
      <c r="I18" s="2165"/>
    </row>
    <row r="19" spans="2:20" ht="23.25" x14ac:dyDescent="0.35">
      <c r="B19" s="112"/>
      <c r="C19" s="2166" t="s">
        <v>822</v>
      </c>
      <c r="D19" s="2167">
        <v>5518555.6633489467</v>
      </c>
      <c r="E19" s="2167">
        <v>1292277.7624752298</v>
      </c>
      <c r="F19" s="2167">
        <v>236510.72637062392</v>
      </c>
      <c r="G19" s="2167">
        <v>4838025.7994355364</v>
      </c>
      <c r="H19" s="2168">
        <v>11885369.951630337</v>
      </c>
      <c r="I19" s="2165"/>
    </row>
    <row r="20" spans="2:20" ht="23.25" x14ac:dyDescent="0.35">
      <c r="B20" s="112"/>
      <c r="C20" s="2169" t="s">
        <v>2456</v>
      </c>
      <c r="D20" s="2167">
        <v>46149.381552873354</v>
      </c>
      <c r="E20" s="2167">
        <v>4990.105371404552</v>
      </c>
      <c r="F20" s="2167">
        <v>1107.631687984147</v>
      </c>
      <c r="G20" s="2167">
        <v>0</v>
      </c>
      <c r="H20" s="2168">
        <v>52247.118612262057</v>
      </c>
      <c r="I20" s="2165"/>
    </row>
    <row r="21" spans="2:20" ht="23.25" x14ac:dyDescent="0.35">
      <c r="B21" s="112"/>
      <c r="C21" s="2166" t="s">
        <v>507</v>
      </c>
      <c r="D21" s="2167">
        <v>2621670.142526872</v>
      </c>
      <c r="E21" s="2167">
        <v>118261.54158409896</v>
      </c>
      <c r="F21" s="2167">
        <v>63970.69615084368</v>
      </c>
      <c r="G21" s="2167">
        <v>1001909.4520056443</v>
      </c>
      <c r="H21" s="2168">
        <v>3805811.832267459</v>
      </c>
      <c r="I21" s="2165"/>
    </row>
    <row r="22" spans="2:20" ht="23.25" x14ac:dyDescent="0.35">
      <c r="B22" s="112"/>
      <c r="C22" s="2166" t="s">
        <v>532</v>
      </c>
      <c r="D22" s="2167">
        <v>6838.36157148862</v>
      </c>
      <c r="E22" s="2167">
        <v>26.569506995736504</v>
      </c>
      <c r="F22" s="2167">
        <v>9.2415630817270138</v>
      </c>
      <c r="G22" s="2167">
        <v>4731.036464901219</v>
      </c>
      <c r="H22" s="2168">
        <v>11605.209106467302</v>
      </c>
      <c r="I22" s="2165"/>
    </row>
    <row r="23" spans="2:20" ht="23.25" x14ac:dyDescent="0.35">
      <c r="B23" s="112"/>
      <c r="C23" s="2166" t="s">
        <v>535</v>
      </c>
      <c r="D23" s="2167">
        <v>39924.635245901634</v>
      </c>
      <c r="E23" s="2167">
        <v>911.87554794931839</v>
      </c>
      <c r="F23" s="2167">
        <v>1106.2398817029966</v>
      </c>
      <c r="G23" s="2167">
        <v>0</v>
      </c>
      <c r="H23" s="2168">
        <v>41942.750675553951</v>
      </c>
      <c r="I23" s="2165"/>
    </row>
    <row r="24" spans="2:20" ht="23.25" x14ac:dyDescent="0.35">
      <c r="B24" s="112"/>
      <c r="C24" s="2166" t="s">
        <v>538</v>
      </c>
      <c r="D24" s="2167">
        <v>9699.1519395904634</v>
      </c>
      <c r="E24" s="2167">
        <v>2787.9322494445446</v>
      </c>
      <c r="F24" s="2167">
        <v>1214.2045577373447</v>
      </c>
      <c r="G24" s="2167">
        <v>4199.4556085990516</v>
      </c>
      <c r="H24" s="2168">
        <v>17900.744355371404</v>
      </c>
      <c r="I24" s="2165"/>
    </row>
    <row r="25" spans="2:20" ht="23.25" x14ac:dyDescent="0.35">
      <c r="B25" s="112"/>
      <c r="C25" s="2169" t="s">
        <v>541</v>
      </c>
      <c r="D25" s="2167">
        <v>114272.38389479373</v>
      </c>
      <c r="E25" s="2167">
        <v>12146.433960847895</v>
      </c>
      <c r="F25" s="2167">
        <v>3529.4809193538704</v>
      </c>
      <c r="G25" s="2167">
        <v>44990.348540803461</v>
      </c>
      <c r="H25" s="2168">
        <v>174938.64731579897</v>
      </c>
      <c r="I25" s="2165"/>
      <c r="T25" s="112"/>
    </row>
    <row r="26" spans="2:20" ht="23.25" x14ac:dyDescent="0.35">
      <c r="B26" s="112"/>
      <c r="C26" s="2166" t="s">
        <v>550</v>
      </c>
      <c r="D26" s="2167">
        <v>1078812.4502942413</v>
      </c>
      <c r="E26" s="2167">
        <v>75041.3515732901</v>
      </c>
      <c r="F26" s="2167">
        <v>34639.424352969436</v>
      </c>
      <c r="G26" s="2167">
        <v>461488.03694529505</v>
      </c>
      <c r="H26" s="2168">
        <v>1649981.2631657959</v>
      </c>
      <c r="I26" s="2165"/>
    </row>
    <row r="27" spans="2:20" ht="23.25" x14ac:dyDescent="0.35">
      <c r="B27" s="112"/>
      <c r="C27" s="2166" t="s">
        <v>568</v>
      </c>
      <c r="D27" s="2167">
        <v>310968.77176784968</v>
      </c>
      <c r="E27" s="2167">
        <v>18782.800291238818</v>
      </c>
      <c r="F27" s="2167">
        <v>4210.1737825016507</v>
      </c>
      <c r="G27" s="2167">
        <v>31620.555410436558</v>
      </c>
      <c r="H27" s="2168">
        <v>365582.30125202669</v>
      </c>
      <c r="I27" s="2165"/>
    </row>
    <row r="28" spans="2:20" ht="23.25" x14ac:dyDescent="0.35">
      <c r="B28" s="112"/>
      <c r="C28" s="2166" t="s">
        <v>575</v>
      </c>
      <c r="D28" s="2167">
        <v>28523.561835705281</v>
      </c>
      <c r="E28" s="2167">
        <v>2569.9085600192157</v>
      </c>
      <c r="F28" s="2167">
        <v>8.9686242719029607</v>
      </c>
      <c r="G28" s="2167">
        <v>0</v>
      </c>
      <c r="H28" s="2168">
        <v>31102.4390199964</v>
      </c>
      <c r="I28" s="2165"/>
    </row>
    <row r="29" spans="2:20" ht="23.25" x14ac:dyDescent="0.35">
      <c r="B29" s="112"/>
      <c r="C29" s="2166" t="s">
        <v>578</v>
      </c>
      <c r="D29" s="2167">
        <v>650007.30836786143</v>
      </c>
      <c r="E29" s="2167">
        <v>65864.030730198778</v>
      </c>
      <c r="F29" s="2167">
        <v>19495.571443583736</v>
      </c>
      <c r="G29" s="2167">
        <v>227750.01148441725</v>
      </c>
      <c r="H29" s="2168">
        <v>963116.92202606122</v>
      </c>
      <c r="I29" s="2165"/>
    </row>
    <row r="30" spans="2:20" ht="46.5" x14ac:dyDescent="0.35">
      <c r="B30" s="112"/>
      <c r="C30" s="2170" t="s">
        <v>838</v>
      </c>
      <c r="D30" s="2167">
        <v>1592.7329910526632</v>
      </c>
      <c r="E30" s="2167">
        <v>0</v>
      </c>
      <c r="F30" s="2167">
        <v>0</v>
      </c>
      <c r="G30" s="2167">
        <v>0</v>
      </c>
      <c r="H30" s="2168">
        <v>1592.7329910526632</v>
      </c>
      <c r="I30" s="2165"/>
    </row>
    <row r="31" spans="2:20" ht="23.25" x14ac:dyDescent="0.35">
      <c r="B31" s="112"/>
      <c r="C31" s="2170" t="s">
        <v>600</v>
      </c>
      <c r="D31" s="2167">
        <v>67462.451345102978</v>
      </c>
      <c r="E31" s="2167">
        <v>380.16974419023597</v>
      </c>
      <c r="F31" s="2167">
        <v>588.23576833003062</v>
      </c>
      <c r="G31" s="2167">
        <v>0</v>
      </c>
      <c r="H31" s="2168">
        <v>68430.85685762325</v>
      </c>
      <c r="I31" s="2165"/>
    </row>
    <row r="32" spans="2:20" ht="46.5" x14ac:dyDescent="0.35">
      <c r="B32" s="112"/>
      <c r="C32" s="2166" t="s">
        <v>603</v>
      </c>
      <c r="D32" s="2167">
        <v>52458.476760943973</v>
      </c>
      <c r="E32" s="2167">
        <v>0</v>
      </c>
      <c r="F32" s="2167">
        <v>10.595628415300546</v>
      </c>
      <c r="G32" s="2167">
        <v>4872.9002882363548</v>
      </c>
      <c r="H32" s="2168">
        <v>57341.97267759563</v>
      </c>
      <c r="I32" s="2165"/>
    </row>
    <row r="33" spans="2:9" ht="23.25" x14ac:dyDescent="0.35">
      <c r="B33" s="112"/>
      <c r="C33" s="2166" t="s">
        <v>606</v>
      </c>
      <c r="D33" s="2167">
        <v>5489441.175223683</v>
      </c>
      <c r="E33" s="2167">
        <v>730197.99267399264</v>
      </c>
      <c r="F33" s="2167">
        <v>185787.15843992075</v>
      </c>
      <c r="G33" s="2167">
        <v>1312329.6642496849</v>
      </c>
      <c r="H33" s="2168">
        <v>7717755.9905872811</v>
      </c>
      <c r="I33" s="2165"/>
    </row>
    <row r="34" spans="2:9" ht="23.25" x14ac:dyDescent="0.35">
      <c r="B34" s="112"/>
      <c r="C34" s="2170" t="s">
        <v>625</v>
      </c>
      <c r="D34" s="2167">
        <v>159597.59830060648</v>
      </c>
      <c r="E34" s="2167">
        <v>6865.0709481775048</v>
      </c>
      <c r="F34" s="2167">
        <v>1513.6248423707439</v>
      </c>
      <c r="G34" s="2167">
        <v>63482.325601993638</v>
      </c>
      <c r="H34" s="2168">
        <v>231458.61969314836</v>
      </c>
      <c r="I34" s="2165"/>
    </row>
    <row r="35" spans="2:9" ht="46.5" x14ac:dyDescent="0.35">
      <c r="B35" s="112"/>
      <c r="C35" s="2166" t="s">
        <v>795</v>
      </c>
      <c r="D35" s="2167">
        <v>29366.619092655979</v>
      </c>
      <c r="E35" s="2167">
        <v>14.733516483516484</v>
      </c>
      <c r="F35" s="2167">
        <v>17.27982946015733</v>
      </c>
      <c r="G35" s="2167">
        <v>0</v>
      </c>
      <c r="H35" s="2168">
        <v>29398.632438599652</v>
      </c>
      <c r="I35" s="2165"/>
    </row>
    <row r="36" spans="2:9" ht="23.25" x14ac:dyDescent="0.35">
      <c r="B36" s="112"/>
      <c r="C36" s="2166" t="s">
        <v>631</v>
      </c>
      <c r="D36" s="2167">
        <v>108562.83974358975</v>
      </c>
      <c r="E36" s="2167">
        <v>12158.609004383594</v>
      </c>
      <c r="F36" s="2167">
        <v>3273.9660571668765</v>
      </c>
      <c r="G36" s="2167">
        <v>30891.870984207053</v>
      </c>
      <c r="H36" s="2168">
        <v>154887.28578934725</v>
      </c>
      <c r="I36" s="2165"/>
    </row>
    <row r="37" spans="2:9" ht="23.25" x14ac:dyDescent="0.35">
      <c r="B37" s="112"/>
      <c r="C37" s="2166" t="s">
        <v>851</v>
      </c>
      <c r="D37" s="2167">
        <v>1208.7917492343722</v>
      </c>
      <c r="E37" s="2167">
        <v>0</v>
      </c>
      <c r="F37" s="2167">
        <v>0</v>
      </c>
      <c r="G37" s="2167">
        <v>8065.0769230769229</v>
      </c>
      <c r="H37" s="2168">
        <v>9273.8686723112951</v>
      </c>
      <c r="I37" s="2165"/>
    </row>
    <row r="38" spans="2:9" ht="23.25" x14ac:dyDescent="0.35">
      <c r="B38" s="112"/>
      <c r="C38" s="2166" t="s">
        <v>645</v>
      </c>
      <c r="D38" s="2167">
        <v>361047.93115354585</v>
      </c>
      <c r="E38" s="2167">
        <v>31581.383789707557</v>
      </c>
      <c r="F38" s="2167">
        <v>18972.468834444244</v>
      </c>
      <c r="G38" s="2167">
        <v>407501.12033867766</v>
      </c>
      <c r="H38" s="2168">
        <v>819102.90411637537</v>
      </c>
      <c r="I38" s="2165"/>
    </row>
    <row r="39" spans="2:9" ht="23.25" x14ac:dyDescent="0.35">
      <c r="B39" s="112"/>
      <c r="C39" s="2170" t="s">
        <v>657</v>
      </c>
      <c r="D39" s="2167">
        <v>20722.279349066237</v>
      </c>
      <c r="E39" s="2167">
        <v>0</v>
      </c>
      <c r="F39" s="2167">
        <v>0</v>
      </c>
      <c r="G39" s="2167">
        <v>0</v>
      </c>
      <c r="H39" s="2168">
        <v>20722.279349066237</v>
      </c>
      <c r="I39" s="2165"/>
    </row>
    <row r="40" spans="2:9" ht="23.25" x14ac:dyDescent="0.35">
      <c r="B40" s="112"/>
      <c r="C40" s="2166" t="s">
        <v>223</v>
      </c>
      <c r="D40" s="2167">
        <v>1053019.3877079203</v>
      </c>
      <c r="E40" s="2167">
        <v>30582.748453732063</v>
      </c>
      <c r="F40" s="2167">
        <v>11697.382603735063</v>
      </c>
      <c r="G40" s="2167">
        <v>350684.21556176059</v>
      </c>
      <c r="H40" s="2168">
        <v>1445983.7343271479</v>
      </c>
      <c r="I40" s="2165"/>
    </row>
    <row r="41" spans="2:9" ht="23.25" x14ac:dyDescent="0.35">
      <c r="B41" s="112"/>
      <c r="C41" s="2166" t="s">
        <v>224</v>
      </c>
      <c r="D41" s="2167">
        <v>706055.50459376699</v>
      </c>
      <c r="E41" s="2167">
        <v>4665.7935957485133</v>
      </c>
      <c r="F41" s="2167">
        <v>6978.8313667207112</v>
      </c>
      <c r="G41" s="2167">
        <v>154241.73471746832</v>
      </c>
      <c r="H41" s="2168">
        <v>871941.86427370459</v>
      </c>
      <c r="I41" s="2165"/>
    </row>
    <row r="42" spans="2:9" ht="23.25" x14ac:dyDescent="0.35">
      <c r="B42" s="112"/>
      <c r="C42" s="2169" t="s">
        <v>2457</v>
      </c>
      <c r="D42" s="2167">
        <v>5595.446135831382</v>
      </c>
      <c r="E42" s="2167">
        <v>199.88038191316878</v>
      </c>
      <c r="F42" s="2167">
        <v>44.621554674833362</v>
      </c>
      <c r="G42" s="2167">
        <v>889.82417582417577</v>
      </c>
      <c r="H42" s="2168">
        <v>6729.7722482435602</v>
      </c>
      <c r="I42" s="2165"/>
    </row>
    <row r="43" spans="2:9" ht="23.25" x14ac:dyDescent="0.35">
      <c r="B43" s="112"/>
      <c r="C43" s="2169" t="s">
        <v>691</v>
      </c>
      <c r="D43" s="2167">
        <v>490327.51077883877</v>
      </c>
      <c r="E43" s="2167">
        <v>34327.75989311235</v>
      </c>
      <c r="F43" s="2167">
        <v>5697.2860145319164</v>
      </c>
      <c r="G43" s="2167">
        <v>180836.8573380172</v>
      </c>
      <c r="H43" s="2168">
        <v>711189.41402450029</v>
      </c>
      <c r="I43" s="2165"/>
    </row>
    <row r="44" spans="2:9" ht="23.25" x14ac:dyDescent="0.35">
      <c r="B44" s="112"/>
      <c r="C44" s="2166" t="s">
        <v>701</v>
      </c>
      <c r="D44" s="2167">
        <v>18291.263826337596</v>
      </c>
      <c r="E44" s="2167">
        <v>60.448687924097761</v>
      </c>
      <c r="F44" s="2167">
        <v>34.497117636461894</v>
      </c>
      <c r="G44" s="2167">
        <v>16033.129301026842</v>
      </c>
      <c r="H44" s="2168">
        <v>34419.338932924999</v>
      </c>
      <c r="I44" s="2165"/>
    </row>
    <row r="45" spans="2:9" ht="23.25" x14ac:dyDescent="0.35">
      <c r="B45" s="112"/>
      <c r="C45" s="2170" t="s">
        <v>390</v>
      </c>
      <c r="D45" s="2167">
        <v>118392.76001321082</v>
      </c>
      <c r="E45" s="2167">
        <v>53398.319221761849</v>
      </c>
      <c r="F45" s="2167">
        <v>10092.533462439202</v>
      </c>
      <c r="G45" s="2167">
        <v>18688.59403711043</v>
      </c>
      <c r="H45" s="2168">
        <v>200572.20673452227</v>
      </c>
      <c r="I45" s="2165"/>
    </row>
    <row r="46" spans="2:9" ht="23.25" x14ac:dyDescent="0.35">
      <c r="B46" s="112"/>
      <c r="C46" s="2166" t="s">
        <v>1486</v>
      </c>
      <c r="D46" s="2167">
        <v>1543.3767038971955</v>
      </c>
      <c r="E46" s="2167">
        <v>0</v>
      </c>
      <c r="F46" s="2167">
        <v>0</v>
      </c>
      <c r="G46" s="2167">
        <v>0</v>
      </c>
      <c r="H46" s="2168">
        <v>1543.3767038971955</v>
      </c>
      <c r="I46" s="2165"/>
    </row>
    <row r="47" spans="2:9" ht="23.25" x14ac:dyDescent="0.35">
      <c r="B47" s="112"/>
      <c r="C47" s="2166" t="s">
        <v>709</v>
      </c>
      <c r="D47" s="2167">
        <v>4133649.1740677357</v>
      </c>
      <c r="E47" s="2167">
        <v>482808.96656758542</v>
      </c>
      <c r="F47" s="2167">
        <v>109796.96252927401</v>
      </c>
      <c r="G47" s="2167">
        <v>862371.63258872274</v>
      </c>
      <c r="H47" s="2168">
        <v>5588626.7357533174</v>
      </c>
      <c r="I47" s="2165"/>
    </row>
    <row r="48" spans="2:9" ht="23.25" x14ac:dyDescent="0.35">
      <c r="B48" s="112"/>
      <c r="C48" s="2169" t="s">
        <v>751</v>
      </c>
      <c r="D48" s="2167">
        <v>201899.4797934306</v>
      </c>
      <c r="E48" s="2167">
        <v>6425.0990211973822</v>
      </c>
      <c r="F48" s="2167">
        <v>3290.3012220020419</v>
      </c>
      <c r="G48" s="2167">
        <v>1296264.9018645289</v>
      </c>
      <c r="H48" s="2168">
        <v>1507879.7819011589</v>
      </c>
      <c r="I48" s="2165"/>
    </row>
    <row r="49" spans="2:9" ht="23.25" x14ac:dyDescent="0.35">
      <c r="B49" s="112"/>
      <c r="C49" s="2169" t="s">
        <v>754</v>
      </c>
      <c r="D49" s="2167">
        <v>38874.583033087132</v>
      </c>
      <c r="E49" s="2167">
        <v>592.46141836305776</v>
      </c>
      <c r="F49" s="2167">
        <v>135.16758241758242</v>
      </c>
      <c r="G49" s="2167">
        <v>0</v>
      </c>
      <c r="H49" s="2168">
        <v>39602.212033867771</v>
      </c>
      <c r="I49" s="2165"/>
    </row>
    <row r="50" spans="2:9" ht="23.25" x14ac:dyDescent="0.35">
      <c r="B50" s="112"/>
      <c r="C50" s="2166" t="s">
        <v>757</v>
      </c>
      <c r="D50" s="2167">
        <v>106546.02837326608</v>
      </c>
      <c r="E50" s="2167">
        <v>11953.306641445983</v>
      </c>
      <c r="F50" s="2167">
        <v>3215.7532276466704</v>
      </c>
      <c r="G50" s="2167">
        <v>97364.465171440592</v>
      </c>
      <c r="H50" s="2168">
        <v>219079.55341379932</v>
      </c>
      <c r="I50" s="2165"/>
    </row>
    <row r="51" spans="2:9" ht="23.25" x14ac:dyDescent="0.35">
      <c r="B51" s="112"/>
      <c r="C51" s="2166" t="s">
        <v>225</v>
      </c>
      <c r="D51" s="2167">
        <v>138352.92562901578</v>
      </c>
      <c r="E51" s="2167">
        <v>2091.8393082327511</v>
      </c>
      <c r="F51" s="2167">
        <v>285.21221401549275</v>
      </c>
      <c r="G51" s="2167">
        <v>7614.6937788986961</v>
      </c>
      <c r="H51" s="2168">
        <v>148344.67093016268</v>
      </c>
      <c r="I51" s="2165"/>
    </row>
    <row r="52" spans="2:9" ht="24" thickBot="1" x14ac:dyDescent="0.4">
      <c r="B52" s="112"/>
      <c r="C52" s="2177" t="s">
        <v>1029</v>
      </c>
      <c r="D52" s="2171">
        <v>29461792.14961268</v>
      </c>
      <c r="E52" s="2171">
        <v>3619781.3098240588</v>
      </c>
      <c r="F52" s="2171">
        <v>929117.40136912256</v>
      </c>
      <c r="G52" s="2171">
        <v>12788063.933315296</v>
      </c>
      <c r="H52" s="2172">
        <v>46798754.794121183</v>
      </c>
      <c r="I52" s="2165"/>
    </row>
    <row r="53" spans="2:9" x14ac:dyDescent="0.25">
      <c r="C53" s="2173"/>
      <c r="D53" s="2174"/>
      <c r="E53" s="2174"/>
      <c r="F53" s="2174"/>
      <c r="G53" s="2174"/>
      <c r="H53" s="2175"/>
      <c r="I53" s="2176"/>
    </row>
    <row r="54" spans="2:9" x14ac:dyDescent="0.25">
      <c r="C54" s="3055" t="s">
        <v>2957</v>
      </c>
      <c r="D54" s="3056"/>
      <c r="E54" s="3056"/>
      <c r="F54" s="3056"/>
      <c r="G54" s="3056"/>
      <c r="H54" s="3056"/>
      <c r="I54" s="3057"/>
    </row>
    <row r="55" spans="2:9" ht="38.25" customHeight="1" thickBot="1" x14ac:dyDescent="0.3">
      <c r="C55" s="3058"/>
      <c r="D55" s="3059"/>
      <c r="E55" s="3059"/>
      <c r="F55" s="3059"/>
      <c r="G55" s="3059"/>
      <c r="H55" s="3059"/>
      <c r="I55" s="3060"/>
    </row>
    <row r="64" spans="2:9" ht="1.5" customHeight="1" x14ac:dyDescent="0.25"/>
    <row r="65" spans="3:9" x14ac:dyDescent="0.25">
      <c r="C65" s="1292"/>
    </row>
    <row r="68" spans="3:9" x14ac:dyDescent="0.25">
      <c r="C68" s="1292"/>
      <c r="D68" s="1292"/>
      <c r="E68" s="1292"/>
      <c r="F68" s="1292"/>
      <c r="G68" s="1292"/>
      <c r="H68" s="1292"/>
      <c r="I68" s="1292"/>
    </row>
    <row r="69" spans="3:9" x14ac:dyDescent="0.25">
      <c r="C69" s="1292"/>
      <c r="D69" s="1292"/>
      <c r="E69" s="1292"/>
      <c r="F69" s="1292"/>
      <c r="G69" s="1292"/>
      <c r="H69" s="1292"/>
      <c r="I69" s="1292"/>
    </row>
    <row r="70" spans="3:9" x14ac:dyDescent="0.25">
      <c r="C70" s="1292"/>
      <c r="D70" s="1292"/>
      <c r="E70" s="1292"/>
      <c r="F70" s="1292"/>
      <c r="G70" s="1292"/>
      <c r="H70" s="1292"/>
      <c r="I70" s="1292"/>
    </row>
    <row r="71" spans="3:9" x14ac:dyDescent="0.25">
      <c r="C71" s="1292"/>
      <c r="D71" s="1292"/>
      <c r="E71" s="1292"/>
      <c r="F71" s="1292"/>
      <c r="G71" s="1292"/>
      <c r="H71" s="1292"/>
      <c r="I71" s="1292"/>
    </row>
    <row r="72" spans="3:9" x14ac:dyDescent="0.25">
      <c r="C72" s="1292"/>
      <c r="D72" s="1292"/>
      <c r="E72" s="1292"/>
      <c r="F72" s="1292"/>
      <c r="G72" s="1292"/>
      <c r="H72" s="1292"/>
      <c r="I72" s="1292"/>
    </row>
  </sheetData>
  <mergeCells count="2">
    <mergeCell ref="C5:H5"/>
    <mergeCell ref="C54:I55"/>
  </mergeCells>
  <pageMargins left="0.70866141732283472" right="0.70866141732283472" top="0.74803149606299213" bottom="0.74803149606299213" header="0.31496062992125984" footer="0.31496062992125984"/>
  <pageSetup paperSize="9" scale="44"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C71524-5F75-407B-ACFD-7052FC951106}">
  <sheetPr>
    <tabColor theme="0"/>
    <pageSetUpPr fitToPage="1"/>
  </sheetPr>
  <dimension ref="C6:I53"/>
  <sheetViews>
    <sheetView showGridLines="0" view="pageLayout" topLeftCell="C33" zoomScale="60" zoomScaleNormal="100" zoomScalePageLayoutView="60" workbookViewId="0">
      <selection activeCell="B81" sqref="B81"/>
    </sheetView>
  </sheetViews>
  <sheetFormatPr defaultColWidth="9.140625" defaultRowHeight="15.75" x14ac:dyDescent="0.25"/>
  <cols>
    <col min="1" max="2" width="0" style="390" hidden="1" customWidth="1"/>
    <col min="3" max="3" width="52.28515625" style="390" customWidth="1"/>
    <col min="4" max="4" width="21.42578125" style="390" customWidth="1"/>
    <col min="5" max="5" width="19.42578125" style="390" customWidth="1"/>
    <col min="6" max="6" width="21.42578125" style="390" customWidth="1"/>
    <col min="7" max="7" width="19" style="390" customWidth="1"/>
    <col min="8" max="8" width="17.7109375" style="390" customWidth="1"/>
    <col min="9" max="9" width="0.7109375" style="390" customWidth="1"/>
    <col min="10" max="16384" width="9.140625" style="390"/>
  </cols>
  <sheetData>
    <row r="6" spans="3:9" ht="46.5" customHeight="1" x14ac:dyDescent="0.25">
      <c r="C6" s="3061" t="s">
        <v>2958</v>
      </c>
      <c r="D6" s="3062"/>
      <c r="E6" s="3062"/>
      <c r="F6" s="3062"/>
      <c r="G6" s="3062"/>
      <c r="H6" s="3063"/>
    </row>
    <row r="7" spans="3:9" ht="46.5" x14ac:dyDescent="0.25">
      <c r="C7" s="2181" t="s">
        <v>217</v>
      </c>
      <c r="D7" s="2181" t="s">
        <v>947</v>
      </c>
      <c r="E7" s="2181" t="s">
        <v>948</v>
      </c>
      <c r="F7" s="2181" t="s">
        <v>2397</v>
      </c>
      <c r="G7" s="2181" t="s">
        <v>2454</v>
      </c>
      <c r="H7" s="2181" t="s">
        <v>949</v>
      </c>
    </row>
    <row r="8" spans="3:9" ht="23.25" x14ac:dyDescent="0.25">
      <c r="C8" s="1146" t="s">
        <v>221</v>
      </c>
      <c r="D8" s="2140">
        <v>253722.37912087911</v>
      </c>
      <c r="E8" s="2140">
        <v>30189.225274725275</v>
      </c>
      <c r="F8" s="2140">
        <v>11840.214285714283</v>
      </c>
      <c r="G8" s="2140">
        <v>124623.32967032967</v>
      </c>
      <c r="H8" s="2140">
        <v>420375.1483516483</v>
      </c>
    </row>
    <row r="9" spans="3:9" ht="46.5" x14ac:dyDescent="0.25">
      <c r="C9" s="1146" t="s">
        <v>417</v>
      </c>
      <c r="D9" s="2140">
        <v>73453.939560439554</v>
      </c>
      <c r="E9" s="2140">
        <v>1910.0000000000002</v>
      </c>
      <c r="F9" s="2140">
        <v>2203.6593406593411</v>
      </c>
      <c r="G9" s="2140">
        <v>210610.62087912089</v>
      </c>
      <c r="H9" s="2140">
        <v>288178.21978021978</v>
      </c>
    </row>
    <row r="10" spans="3:9" ht="23.25" x14ac:dyDescent="0.25">
      <c r="C10" s="1146" t="s">
        <v>331</v>
      </c>
      <c r="D10" s="2140">
        <v>15061.736263736264</v>
      </c>
      <c r="E10" s="2140">
        <v>33599.467032967041</v>
      </c>
      <c r="F10" s="2140">
        <v>21748.686813186814</v>
      </c>
      <c r="G10" s="2140">
        <v>320216.73626373627</v>
      </c>
      <c r="H10" s="2140">
        <v>390626.62637362629</v>
      </c>
    </row>
    <row r="11" spans="3:9" ht="23.25" x14ac:dyDescent="0.25">
      <c r="C11" s="1146" t="s">
        <v>426</v>
      </c>
      <c r="D11" s="2140">
        <v>512221.73076923075</v>
      </c>
      <c r="E11" s="2140">
        <v>30292.038461538468</v>
      </c>
      <c r="F11" s="2140">
        <v>4576.9010989010985</v>
      </c>
      <c r="G11" s="2140">
        <v>17978.36813186813</v>
      </c>
      <c r="H11" s="2140">
        <v>565069.0384615385</v>
      </c>
    </row>
    <row r="12" spans="3:9" ht="1.5" customHeight="1" x14ac:dyDescent="0.25">
      <c r="C12" s="1146" t="s">
        <v>442</v>
      </c>
      <c r="D12" s="2140">
        <v>25775.950549450543</v>
      </c>
      <c r="E12" s="2140">
        <v>1571.5879120879122</v>
      </c>
      <c r="F12" s="2140">
        <v>320.85164835164829</v>
      </c>
      <c r="G12" s="2140">
        <v>137.84065934065933</v>
      </c>
      <c r="H12" s="2140">
        <v>27806.23076923077</v>
      </c>
    </row>
    <row r="13" spans="3:9" ht="23.25" x14ac:dyDescent="0.25">
      <c r="C13" s="1146" t="s">
        <v>446</v>
      </c>
      <c r="D13" s="2140">
        <v>31213.126373626375</v>
      </c>
      <c r="E13" s="2140">
        <v>0</v>
      </c>
      <c r="F13" s="2140">
        <v>0</v>
      </c>
      <c r="G13" s="2140">
        <v>0</v>
      </c>
      <c r="H13" s="2140">
        <v>31213.126373626375</v>
      </c>
    </row>
    <row r="14" spans="3:9" ht="46.5" x14ac:dyDescent="0.25">
      <c r="C14" s="1146" t="s">
        <v>449</v>
      </c>
      <c r="D14" s="2140">
        <v>170482.35164835164</v>
      </c>
      <c r="E14" s="2140">
        <v>11632.241758241757</v>
      </c>
      <c r="F14" s="2140">
        <v>8383.8406593406598</v>
      </c>
      <c r="G14" s="2140">
        <v>51705.939560439561</v>
      </c>
      <c r="H14" s="2140">
        <v>242204.37362637368</v>
      </c>
    </row>
    <row r="15" spans="3:9" ht="23.25" x14ac:dyDescent="0.25">
      <c r="C15" s="1146" t="s">
        <v>452</v>
      </c>
      <c r="D15" s="2140">
        <v>8764.8901098901115</v>
      </c>
      <c r="E15" s="2140">
        <v>1.3846153846153846</v>
      </c>
      <c r="F15" s="2140">
        <v>0</v>
      </c>
      <c r="G15" s="2140">
        <v>40501.087912087918</v>
      </c>
      <c r="H15" s="2140">
        <v>49267.362637362647</v>
      </c>
    </row>
    <row r="16" spans="3:9" ht="23.25" x14ac:dyDescent="0.25">
      <c r="C16" s="1146" t="s">
        <v>455</v>
      </c>
      <c r="D16" s="2140">
        <v>26841.516483516483</v>
      </c>
      <c r="E16" s="2140">
        <v>3706.7747252747254</v>
      </c>
      <c r="F16" s="2140">
        <v>1134.3791208791208</v>
      </c>
      <c r="G16" s="2140">
        <v>144314.90109890109</v>
      </c>
      <c r="H16" s="2140">
        <v>175997.57142857145</v>
      </c>
      <c r="I16" s="1292"/>
    </row>
    <row r="17" spans="3:9" ht="23.25" x14ac:dyDescent="0.25">
      <c r="C17" s="1146" t="s">
        <v>459</v>
      </c>
      <c r="D17" s="2140">
        <v>12025.34065934066</v>
      </c>
      <c r="E17" s="2140">
        <v>939.30219780219784</v>
      </c>
      <c r="F17" s="2140">
        <v>2075.6703296703295</v>
      </c>
      <c r="G17" s="2140">
        <v>145768.74175824178</v>
      </c>
      <c r="H17" s="2140">
        <v>160809.05494505496</v>
      </c>
      <c r="I17" s="1292"/>
    </row>
    <row r="18" spans="3:9" ht="23.25" x14ac:dyDescent="0.25">
      <c r="C18" s="1146" t="s">
        <v>2455</v>
      </c>
      <c r="D18" s="2140">
        <v>4633327.2252747249</v>
      </c>
      <c r="E18" s="2140">
        <v>507152.29670329671</v>
      </c>
      <c r="F18" s="2140">
        <v>191356.03296703298</v>
      </c>
      <c r="G18" s="2140">
        <v>170293.80769230769</v>
      </c>
      <c r="H18" s="2140">
        <v>5502129.3626373624</v>
      </c>
      <c r="I18" s="1292"/>
    </row>
    <row r="19" spans="3:9" ht="23.25" x14ac:dyDescent="0.25">
      <c r="C19" s="1146" t="s">
        <v>466</v>
      </c>
      <c r="D19" s="2140">
        <v>32929.142857142862</v>
      </c>
      <c r="E19" s="2140">
        <v>3592.6098901098903</v>
      </c>
      <c r="F19" s="2140">
        <v>1793.6923076923074</v>
      </c>
      <c r="G19" s="2140">
        <v>66227.989010989011</v>
      </c>
      <c r="H19" s="2140">
        <v>104543.43406593407</v>
      </c>
      <c r="I19" s="1292"/>
    </row>
    <row r="20" spans="3:9" ht="23.25" x14ac:dyDescent="0.25">
      <c r="C20" s="1146" t="s">
        <v>822</v>
      </c>
      <c r="D20" s="2140">
        <v>5651782.7857142864</v>
      </c>
      <c r="E20" s="2140">
        <v>1367759.065934066</v>
      </c>
      <c r="F20" s="2140">
        <v>247974.85164835164</v>
      </c>
      <c r="G20" s="2140">
        <v>4636598.5934065925</v>
      </c>
      <c r="H20" s="2140">
        <v>11904115.296703296</v>
      </c>
      <c r="I20" s="1292"/>
    </row>
    <row r="21" spans="3:9" ht="23.25" x14ac:dyDescent="0.25">
      <c r="C21" s="1146" t="s">
        <v>2456</v>
      </c>
      <c r="D21" s="2140">
        <v>49557.648351648349</v>
      </c>
      <c r="E21" s="2140">
        <v>5235.5659340659349</v>
      </c>
      <c r="F21" s="2140">
        <v>1194.197802197802</v>
      </c>
      <c r="G21" s="2140">
        <v>0</v>
      </c>
      <c r="H21" s="2140">
        <v>55987.412087912089</v>
      </c>
    </row>
    <row r="22" spans="3:9" ht="23.25" x14ac:dyDescent="0.25">
      <c r="C22" s="1146" t="s">
        <v>507</v>
      </c>
      <c r="D22" s="2140">
        <v>2701716.1648351648</v>
      </c>
      <c r="E22" s="2140">
        <v>120562.21978021978</v>
      </c>
      <c r="F22" s="2140">
        <v>66763.791208791212</v>
      </c>
      <c r="G22" s="2140">
        <v>1031277.4340659339</v>
      </c>
      <c r="H22" s="2140">
        <v>3920319.6098901099</v>
      </c>
    </row>
    <row r="23" spans="3:9" ht="23.25" x14ac:dyDescent="0.25">
      <c r="C23" s="1146" t="s">
        <v>532</v>
      </c>
      <c r="D23" s="2140">
        <v>6794.3351648351636</v>
      </c>
      <c r="E23" s="2140">
        <v>26.439560439560438</v>
      </c>
      <c r="F23" s="2140">
        <v>15.412087912087909</v>
      </c>
      <c r="G23" s="2140">
        <v>6845.3461538461543</v>
      </c>
      <c r="H23" s="2140">
        <v>13681.53296703297</v>
      </c>
    </row>
    <row r="24" spans="3:9" ht="23.25" x14ac:dyDescent="0.25">
      <c r="C24" s="1146" t="s">
        <v>535</v>
      </c>
      <c r="D24" s="2140">
        <v>41820.5</v>
      </c>
      <c r="E24" s="2140">
        <v>1031.4505494505495</v>
      </c>
      <c r="F24" s="2140">
        <v>1202.7967032967035</v>
      </c>
      <c r="G24" s="2140">
        <v>0</v>
      </c>
      <c r="H24" s="2140">
        <v>44054.747252747249</v>
      </c>
    </row>
    <row r="25" spans="3:9" ht="23.25" x14ac:dyDescent="0.25">
      <c r="C25" s="1146" t="s">
        <v>538</v>
      </c>
      <c r="D25" s="2140">
        <v>10537.60989010989</v>
      </c>
      <c r="E25" s="2140">
        <v>2695.2032967032969</v>
      </c>
      <c r="F25" s="2140">
        <v>1716.868131868132</v>
      </c>
      <c r="G25" s="2140">
        <v>5139.7527472527472</v>
      </c>
      <c r="H25" s="2140">
        <v>20089.434065934067</v>
      </c>
    </row>
    <row r="26" spans="3:9" ht="23.25" x14ac:dyDescent="0.25">
      <c r="C26" s="1146" t="s">
        <v>541</v>
      </c>
      <c r="D26" s="2140">
        <v>122168.5054945055</v>
      </c>
      <c r="E26" s="2140">
        <v>13851.829670329671</v>
      </c>
      <c r="F26" s="2140">
        <v>4147.0164835164833</v>
      </c>
      <c r="G26" s="2140">
        <v>66318.565934065933</v>
      </c>
      <c r="H26" s="2140">
        <v>206485.91758241758</v>
      </c>
    </row>
    <row r="27" spans="3:9" ht="23.25" x14ac:dyDescent="0.25">
      <c r="C27" s="1146" t="s">
        <v>550</v>
      </c>
      <c r="D27" s="2140">
        <v>1149623.8076923075</v>
      </c>
      <c r="E27" s="2140">
        <v>83025.675824175836</v>
      </c>
      <c r="F27" s="2140">
        <v>37696.31318681319</v>
      </c>
      <c r="G27" s="2140">
        <v>461209.52197802189</v>
      </c>
      <c r="H27" s="2140">
        <v>1731555.3186813188</v>
      </c>
    </row>
    <row r="28" spans="3:9" ht="23.25" x14ac:dyDescent="0.25">
      <c r="C28" s="1146" t="s">
        <v>568</v>
      </c>
      <c r="D28" s="2140">
        <v>333953.46703296708</v>
      </c>
      <c r="E28" s="2140">
        <v>20188.906593406595</v>
      </c>
      <c r="F28" s="2140">
        <v>4345.604395604395</v>
      </c>
      <c r="G28" s="2140">
        <v>37000.280219780216</v>
      </c>
      <c r="H28" s="2140">
        <v>395488.25824175833</v>
      </c>
    </row>
    <row r="29" spans="3:9" ht="23.25" x14ac:dyDescent="0.25">
      <c r="C29" s="1146" t="s">
        <v>575</v>
      </c>
      <c r="D29" s="2140">
        <v>29456.631868131873</v>
      </c>
      <c r="E29" s="2140">
        <v>2861.532967032967</v>
      </c>
      <c r="F29" s="2140">
        <v>16.516483516483518</v>
      </c>
      <c r="G29" s="2140">
        <v>0</v>
      </c>
      <c r="H29" s="2140">
        <v>32334.68131868132</v>
      </c>
    </row>
    <row r="30" spans="3:9" ht="23.25" x14ac:dyDescent="0.25">
      <c r="C30" s="1146" t="s">
        <v>578</v>
      </c>
      <c r="D30" s="2140">
        <v>687518.86263736244</v>
      </c>
      <c r="E30" s="2140">
        <v>69323.247252747256</v>
      </c>
      <c r="F30" s="2140">
        <v>21002.148351648353</v>
      </c>
      <c r="G30" s="2140">
        <v>242712.20329670334</v>
      </c>
      <c r="H30" s="2140">
        <v>1020556.4615384615</v>
      </c>
    </row>
    <row r="31" spans="3:9" ht="46.5" x14ac:dyDescent="0.25">
      <c r="C31" s="1146" t="s">
        <v>2434</v>
      </c>
      <c r="D31" s="2140">
        <v>1878.2747252747254</v>
      </c>
      <c r="E31" s="2140">
        <v>0</v>
      </c>
      <c r="F31" s="2140">
        <v>0</v>
      </c>
      <c r="G31" s="2140">
        <v>0</v>
      </c>
      <c r="H31" s="2140">
        <v>1878.2747252747254</v>
      </c>
    </row>
    <row r="32" spans="3:9" ht="23.25" x14ac:dyDescent="0.25">
      <c r="C32" s="1146" t="s">
        <v>600</v>
      </c>
      <c r="D32" s="2140">
        <v>74078.192307692298</v>
      </c>
      <c r="E32" s="2140">
        <v>398.12637362637361</v>
      </c>
      <c r="F32" s="2140">
        <v>563.29120879120887</v>
      </c>
      <c r="G32" s="2140">
        <v>0</v>
      </c>
      <c r="H32" s="2140">
        <v>75039.609890109889</v>
      </c>
    </row>
    <row r="33" spans="3:8" ht="46.5" x14ac:dyDescent="0.25">
      <c r="C33" s="1146" t="s">
        <v>603</v>
      </c>
      <c r="D33" s="2140">
        <v>56028.494505494506</v>
      </c>
      <c r="E33" s="2140">
        <v>0</v>
      </c>
      <c r="F33" s="2140">
        <v>10</v>
      </c>
      <c r="G33" s="2140">
        <v>5306.5054945054953</v>
      </c>
      <c r="H33" s="2140">
        <v>61345</v>
      </c>
    </row>
    <row r="34" spans="3:8" ht="23.25" x14ac:dyDescent="0.25">
      <c r="C34" s="1146" t="s">
        <v>606</v>
      </c>
      <c r="D34" s="2140">
        <v>5603855.1318681315</v>
      </c>
      <c r="E34" s="2140">
        <v>746538.31868131866</v>
      </c>
      <c r="F34" s="2140">
        <v>202097.989010989</v>
      </c>
      <c r="G34" s="2140">
        <v>1349562.1153846155</v>
      </c>
      <c r="H34" s="2140">
        <v>7902053.5549450535</v>
      </c>
    </row>
    <row r="35" spans="3:8" ht="23.25" x14ac:dyDescent="0.25">
      <c r="C35" s="1146" t="s">
        <v>625</v>
      </c>
      <c r="D35" s="2140">
        <v>175548.97802197802</v>
      </c>
      <c r="E35" s="2140">
        <v>7636.9670329670325</v>
      </c>
      <c r="F35" s="2140">
        <v>1724.6923076923076</v>
      </c>
      <c r="G35" s="2140">
        <v>90523.170329670334</v>
      </c>
      <c r="H35" s="2140">
        <v>275433.80769230763</v>
      </c>
    </row>
    <row r="36" spans="3:8" ht="46.5" x14ac:dyDescent="0.25">
      <c r="C36" s="1146" t="s">
        <v>795</v>
      </c>
      <c r="D36" s="2140">
        <v>31004.587912087911</v>
      </c>
      <c r="E36" s="2140">
        <v>29.467032967032967</v>
      </c>
      <c r="F36" s="2140">
        <v>26.417582417582416</v>
      </c>
      <c r="G36" s="2140">
        <v>0</v>
      </c>
      <c r="H36" s="2140">
        <v>31060.472527472521</v>
      </c>
    </row>
    <row r="37" spans="3:8" ht="23.25" x14ac:dyDescent="0.25">
      <c r="C37" s="1146" t="s">
        <v>631</v>
      </c>
      <c r="D37" s="2140">
        <v>121105.34615384616</v>
      </c>
      <c r="E37" s="2140">
        <v>14508.895604395604</v>
      </c>
      <c r="F37" s="2140">
        <v>4618.5769230769229</v>
      </c>
      <c r="G37" s="2140">
        <v>47783.780219780223</v>
      </c>
      <c r="H37" s="2140">
        <v>188016.59890109891</v>
      </c>
    </row>
    <row r="38" spans="3:8" ht="23.25" x14ac:dyDescent="0.25">
      <c r="C38" s="1146" t="s">
        <v>851</v>
      </c>
      <c r="D38" s="2140">
        <v>1490.7802197802198</v>
      </c>
      <c r="E38" s="2140">
        <v>0</v>
      </c>
      <c r="F38" s="2140">
        <v>0</v>
      </c>
      <c r="G38" s="2140">
        <v>16130.153846153846</v>
      </c>
      <c r="H38" s="2140">
        <v>17620.934065934067</v>
      </c>
    </row>
    <row r="39" spans="3:8" ht="23.25" x14ac:dyDescent="0.25">
      <c r="C39" s="1146" t="s">
        <v>645</v>
      </c>
      <c r="D39" s="2140">
        <v>391656.80219780217</v>
      </c>
      <c r="E39" s="2140">
        <v>31160.467032967033</v>
      </c>
      <c r="F39" s="2140">
        <v>22371.593406593405</v>
      </c>
      <c r="G39" s="2140">
        <v>419042.0439560439</v>
      </c>
      <c r="H39" s="2140">
        <v>864230.90659340657</v>
      </c>
    </row>
    <row r="40" spans="3:8" ht="23.25" x14ac:dyDescent="0.25">
      <c r="C40" s="1146" t="s">
        <v>657</v>
      </c>
      <c r="D40" s="2140">
        <v>23916.241758241758</v>
      </c>
      <c r="E40" s="2140">
        <v>0</v>
      </c>
      <c r="F40" s="2140">
        <v>0</v>
      </c>
      <c r="G40" s="2140">
        <v>0</v>
      </c>
      <c r="H40" s="2140">
        <v>23916.241758241758</v>
      </c>
    </row>
    <row r="41" spans="3:8" ht="23.25" x14ac:dyDescent="0.25">
      <c r="C41" s="1146" t="s">
        <v>223</v>
      </c>
      <c r="D41" s="2140">
        <v>1155223.9010989009</v>
      </c>
      <c r="E41" s="2140">
        <v>33026.934065934067</v>
      </c>
      <c r="F41" s="2140">
        <v>13015.032967032967</v>
      </c>
      <c r="G41" s="2140">
        <v>354614.8956043956</v>
      </c>
      <c r="H41" s="2140">
        <v>1555880.7637362638</v>
      </c>
    </row>
    <row r="42" spans="3:8" ht="23.25" x14ac:dyDescent="0.25">
      <c r="C42" s="1146" t="s">
        <v>224</v>
      </c>
      <c r="D42" s="2140">
        <v>757611.68131868145</v>
      </c>
      <c r="E42" s="2140">
        <v>5475.4560439560437</v>
      </c>
      <c r="F42" s="2140">
        <v>8384.2802197802193</v>
      </c>
      <c r="G42" s="2140">
        <v>183555.9065934066</v>
      </c>
      <c r="H42" s="2140">
        <v>955027.32417582418</v>
      </c>
    </row>
    <row r="43" spans="3:8" ht="23.25" x14ac:dyDescent="0.25">
      <c r="C43" s="1146" t="s">
        <v>2457</v>
      </c>
      <c r="D43" s="2140">
        <v>6135.2857142857147</v>
      </c>
      <c r="E43" s="2140">
        <v>223.21978021978018</v>
      </c>
      <c r="F43" s="2140">
        <v>55.489010989010985</v>
      </c>
      <c r="G43" s="2140">
        <v>1779.6483516483515</v>
      </c>
      <c r="H43" s="2140">
        <v>8193.6428571428551</v>
      </c>
    </row>
    <row r="44" spans="3:8" ht="23.25" x14ac:dyDescent="0.25">
      <c r="C44" s="1146" t="s">
        <v>691</v>
      </c>
      <c r="D44" s="2140">
        <v>526733.94505494519</v>
      </c>
      <c r="E44" s="2140">
        <v>33937.120879120885</v>
      </c>
      <c r="F44" s="2140">
        <v>6070.6813186813188</v>
      </c>
      <c r="G44" s="2140">
        <v>187250.78571428577</v>
      </c>
      <c r="H44" s="2140">
        <v>753992.53296703298</v>
      </c>
    </row>
    <row r="45" spans="3:8" ht="23.25" x14ac:dyDescent="0.25">
      <c r="C45" s="1146" t="s">
        <v>701</v>
      </c>
      <c r="D45" s="2140">
        <v>19317.560439560439</v>
      </c>
      <c r="E45" s="2140">
        <v>63.219780219780212</v>
      </c>
      <c r="F45" s="2140">
        <v>39.945054945054942</v>
      </c>
      <c r="G45" s="2140">
        <v>19067.324175824175</v>
      </c>
      <c r="H45" s="2140">
        <v>38488.049450549443</v>
      </c>
    </row>
    <row r="46" spans="3:8" ht="23.25" x14ac:dyDescent="0.25">
      <c r="C46" s="1146" t="s">
        <v>390</v>
      </c>
      <c r="D46" s="2140">
        <v>121765.16483516483</v>
      </c>
      <c r="E46" s="2140">
        <v>52313.835164835175</v>
      </c>
      <c r="F46" s="2140">
        <v>10100.247252747255</v>
      </c>
      <c r="G46" s="2140">
        <v>19896.417582417584</v>
      </c>
      <c r="H46" s="2140">
        <v>204075.66483516485</v>
      </c>
    </row>
    <row r="47" spans="3:8" ht="23.25" x14ac:dyDescent="0.25">
      <c r="C47" s="1146" t="s">
        <v>867</v>
      </c>
      <c r="D47" s="2140">
        <v>1752.8736263736264</v>
      </c>
      <c r="E47" s="2140">
        <v>0</v>
      </c>
      <c r="F47" s="2140">
        <v>0</v>
      </c>
      <c r="G47" s="2140">
        <v>0</v>
      </c>
      <c r="H47" s="2140">
        <v>1752.8736263736264</v>
      </c>
    </row>
    <row r="48" spans="3:8" ht="23.25" x14ac:dyDescent="0.25">
      <c r="C48" s="1146" t="s">
        <v>709</v>
      </c>
      <c r="D48" s="2140">
        <v>4318967.7087912085</v>
      </c>
      <c r="E48" s="2140">
        <v>517917.76373626373</v>
      </c>
      <c r="F48" s="2140">
        <v>120984.28571428571</v>
      </c>
      <c r="G48" s="2140">
        <v>909493.52747252746</v>
      </c>
      <c r="H48" s="2140">
        <v>5867363.2857142854</v>
      </c>
    </row>
    <row r="49" spans="3:8" ht="23.25" x14ac:dyDescent="0.25">
      <c r="C49" s="1146" t="s">
        <v>751</v>
      </c>
      <c r="D49" s="2140">
        <v>214042.6043956044</v>
      </c>
      <c r="E49" s="2140">
        <v>7539.2417582417593</v>
      </c>
      <c r="F49" s="2140">
        <v>4180.2472527472528</v>
      </c>
      <c r="G49" s="2140">
        <v>1308384.0824175826</v>
      </c>
      <c r="H49" s="2140">
        <v>1534146.1758241758</v>
      </c>
    </row>
    <row r="50" spans="3:8" ht="23.25" x14ac:dyDescent="0.25">
      <c r="C50" s="1146" t="s">
        <v>754</v>
      </c>
      <c r="D50" s="2140">
        <v>41650.390109890104</v>
      </c>
      <c r="E50" s="2140">
        <v>640.87912087912093</v>
      </c>
      <c r="F50" s="2140">
        <v>270.33516483516485</v>
      </c>
      <c r="G50" s="2140">
        <v>0</v>
      </c>
      <c r="H50" s="2140">
        <v>42561.604395604394</v>
      </c>
    </row>
    <row r="51" spans="3:8" ht="23.25" x14ac:dyDescent="0.25">
      <c r="C51" s="1146" t="s">
        <v>757</v>
      </c>
      <c r="D51" s="2140">
        <v>102407.3846153846</v>
      </c>
      <c r="E51" s="2140">
        <v>11707.230769230766</v>
      </c>
      <c r="F51" s="2140">
        <v>3681.6813186813188</v>
      </c>
      <c r="G51" s="2140">
        <v>107187.25274725274</v>
      </c>
      <c r="H51" s="2140">
        <v>224983.54945054944</v>
      </c>
    </row>
    <row r="52" spans="3:8" ht="23.25" x14ac:dyDescent="0.25">
      <c r="C52" s="1146" t="s">
        <v>225</v>
      </c>
      <c r="D52" s="2140">
        <v>155163.78021978019</v>
      </c>
      <c r="E52" s="2140">
        <v>2461.1868131868132</v>
      </c>
      <c r="F52" s="2140">
        <v>370.67032967032975</v>
      </c>
      <c r="G52" s="2140">
        <v>9181.9230769230762</v>
      </c>
      <c r="H52" s="2140">
        <v>167177.56043956045</v>
      </c>
    </row>
    <row r="53" spans="3:8" ht="23.25" x14ac:dyDescent="0.25">
      <c r="C53" s="2181" t="s">
        <v>133</v>
      </c>
      <c r="D53" s="2180">
        <v>30482084.758241758</v>
      </c>
      <c r="E53" s="2180">
        <v>3776726.3956043976</v>
      </c>
      <c r="F53" s="2180">
        <v>1030074.9010989011</v>
      </c>
      <c r="G53" s="2180">
        <v>12808240.593406592</v>
      </c>
      <c r="H53" s="2180">
        <v>48097126.648351602</v>
      </c>
    </row>
  </sheetData>
  <mergeCells count="1">
    <mergeCell ref="C6:H6"/>
  </mergeCells>
  <pageMargins left="0.70866141732283472" right="0.70866141732283472" top="0.74803149606299213" bottom="0.74803149606299213" header="0.31496062992125984" footer="0.31496062992125984"/>
  <pageSetup paperSize="9" scale="54"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A0CC2E-49B2-4E18-8BB1-0C0847339CD6}">
  <sheetPr>
    <tabColor theme="0"/>
    <pageSetUpPr fitToPage="1"/>
  </sheetPr>
  <dimension ref="A1:AD206"/>
  <sheetViews>
    <sheetView showGridLines="0" view="pageBreakPreview" topLeftCell="B70" zoomScale="80" zoomScaleNormal="70" zoomScaleSheetLayoutView="80" zoomScalePageLayoutView="70" workbookViewId="0">
      <selection activeCell="B81" sqref="B81"/>
    </sheetView>
  </sheetViews>
  <sheetFormatPr defaultColWidth="9.140625" defaultRowHeight="15.75" x14ac:dyDescent="0.25"/>
  <cols>
    <col min="1" max="1" width="0" style="112" hidden="1" customWidth="1"/>
    <col min="2" max="2" width="4.7109375" style="112" customWidth="1"/>
    <col min="3" max="3" width="45" style="112" customWidth="1"/>
    <col min="4" max="4" width="17.85546875" style="112" customWidth="1"/>
    <col min="5" max="5" width="13.5703125" style="112" customWidth="1"/>
    <col min="6" max="6" width="18.5703125" style="112" customWidth="1"/>
    <col min="7" max="7" width="18.42578125" style="112" customWidth="1"/>
    <col min="8" max="8" width="23" style="112" customWidth="1"/>
    <col min="9" max="9" width="16.7109375" style="112" customWidth="1"/>
    <col min="10" max="10" width="6.28515625" style="112" customWidth="1"/>
    <col min="11" max="23" width="14.28515625" style="112" customWidth="1"/>
    <col min="24" max="24" width="30.7109375" style="112" customWidth="1"/>
    <col min="25" max="27" width="9.140625" style="112" customWidth="1"/>
    <col min="28" max="28" width="9.5703125" style="112" customWidth="1"/>
    <col min="29" max="29" width="11.5703125" style="112" customWidth="1"/>
    <col min="30" max="54" width="9.140625" style="112" customWidth="1"/>
    <col min="55" max="16384" width="9.140625" style="112"/>
  </cols>
  <sheetData>
    <row r="1" spans="1:30" x14ac:dyDescent="0.25">
      <c r="A1" s="112" t="s">
        <v>296</v>
      </c>
    </row>
    <row r="2" spans="1:30" ht="16.5" thickBot="1" x14ac:dyDescent="0.3"/>
    <row r="3" spans="1:30" ht="31.5" customHeight="1" x14ac:dyDescent="0.25">
      <c r="C3" s="3083" t="s">
        <v>2466</v>
      </c>
      <c r="D3" s="3084"/>
      <c r="E3" s="3084"/>
      <c r="F3" s="3084"/>
      <c r="G3" s="3084"/>
      <c r="H3" s="3084"/>
      <c r="I3" s="3085"/>
    </row>
    <row r="4" spans="1:30" ht="45.75" customHeight="1" x14ac:dyDescent="0.25">
      <c r="C4" s="1123" t="s">
        <v>900</v>
      </c>
      <c r="D4" s="1145" t="s">
        <v>947</v>
      </c>
      <c r="E4" s="1145" t="s">
        <v>951</v>
      </c>
      <c r="F4" s="1145" t="s">
        <v>952</v>
      </c>
      <c r="G4" s="38" t="s">
        <v>953</v>
      </c>
      <c r="H4" s="2679" t="s">
        <v>954</v>
      </c>
      <c r="I4" s="3086"/>
      <c r="X4" s="417" t="s">
        <v>900</v>
      </c>
      <c r="Y4" s="417"/>
      <c r="Z4" s="419" t="s">
        <v>947</v>
      </c>
      <c r="AA4" s="419" t="s">
        <v>951</v>
      </c>
      <c r="AB4" s="419" t="s">
        <v>952</v>
      </c>
      <c r="AC4" s="419" t="s">
        <v>953</v>
      </c>
    </row>
    <row r="5" spans="1:30" ht="29.25" customHeight="1" x14ac:dyDescent="0.25">
      <c r="C5" s="511" t="s">
        <v>956</v>
      </c>
      <c r="D5" s="395">
        <v>13238071</v>
      </c>
      <c r="E5" s="395">
        <v>2456140</v>
      </c>
      <c r="F5" s="395">
        <v>489067</v>
      </c>
      <c r="G5" s="395">
        <v>14206677</v>
      </c>
      <c r="H5" s="2919">
        <v>30389956</v>
      </c>
      <c r="I5" s="3087"/>
      <c r="X5" s="421" t="str">
        <f>C5</f>
        <v>April-2021 to September 2021</v>
      </c>
      <c r="Y5" s="420">
        <f t="shared" ref="Y5:Y14" si="0">H5/10^6</f>
        <v>30.389956000000002</v>
      </c>
      <c r="Z5" s="420">
        <f t="shared" ref="Z5:AC14" si="1">D5/10^6</f>
        <v>13.238071</v>
      </c>
      <c r="AA5" s="420">
        <f t="shared" si="1"/>
        <v>2.45614</v>
      </c>
      <c r="AB5" s="420">
        <f t="shared" si="1"/>
        <v>0.48906699999999997</v>
      </c>
      <c r="AC5" s="420">
        <f t="shared" si="1"/>
        <v>14.206676999999999</v>
      </c>
    </row>
    <row r="6" spans="1:30" ht="29.25" customHeight="1" x14ac:dyDescent="0.25">
      <c r="C6" s="511" t="s">
        <v>957</v>
      </c>
      <c r="D6" s="947">
        <v>17253563.019787285</v>
      </c>
      <c r="E6" s="947">
        <v>2801725.7384859822</v>
      </c>
      <c r="F6" s="947">
        <v>678335.22735713364</v>
      </c>
      <c r="G6" s="947">
        <v>13870178.238668138</v>
      </c>
      <c r="H6" s="3076">
        <v>34603802.224298537</v>
      </c>
      <c r="I6" s="3077"/>
      <c r="X6" s="421" t="str">
        <f t="shared" ref="X6:X14" si="2">C6</f>
        <v>October 2021 to March 2022</v>
      </c>
      <c r="Y6" s="420">
        <f t="shared" si="0"/>
        <v>34.603802224298533</v>
      </c>
      <c r="Z6" s="420">
        <f t="shared" si="1"/>
        <v>17.253563019787286</v>
      </c>
      <c r="AA6" s="420">
        <f t="shared" si="1"/>
        <v>2.8017257384859824</v>
      </c>
      <c r="AB6" s="420">
        <f t="shared" si="1"/>
        <v>0.67833522735713359</v>
      </c>
      <c r="AC6" s="420">
        <f t="shared" si="1"/>
        <v>13.870178238668139</v>
      </c>
    </row>
    <row r="7" spans="1:30" ht="29.25" customHeight="1" x14ac:dyDescent="0.25">
      <c r="C7" s="511" t="s">
        <v>958</v>
      </c>
      <c r="D7" s="947">
        <v>18938878.72077496</v>
      </c>
      <c r="E7" s="947">
        <v>2570973.2270438331</v>
      </c>
      <c r="F7" s="947">
        <v>671072.00365598476</v>
      </c>
      <c r="G7" s="947">
        <v>12112714.125389727</v>
      </c>
      <c r="H7" s="3076">
        <v>34293638.076864526</v>
      </c>
      <c r="I7" s="3077"/>
      <c r="X7" s="421" t="str">
        <f t="shared" si="2"/>
        <v>April-2022 to September 2022</v>
      </c>
      <c r="Y7" s="420">
        <f t="shared" si="0"/>
        <v>34.293638076864525</v>
      </c>
      <c r="Z7" s="420">
        <f t="shared" si="1"/>
        <v>18.938878720774959</v>
      </c>
      <c r="AA7" s="420">
        <f t="shared" si="1"/>
        <v>2.570973227043833</v>
      </c>
      <c r="AB7" s="420">
        <f t="shared" si="1"/>
        <v>0.67107200365598474</v>
      </c>
      <c r="AC7" s="420">
        <f t="shared" si="1"/>
        <v>12.112714125389727</v>
      </c>
      <c r="AD7" s="422">
        <f t="shared" ref="AD7:AD12" si="3">+Y7/Y6-1</f>
        <v>-8.9632967332189395E-3</v>
      </c>
    </row>
    <row r="8" spans="1:30" ht="29.25" customHeight="1" x14ac:dyDescent="0.25">
      <c r="C8" s="511" t="s">
        <v>959</v>
      </c>
      <c r="D8" s="947">
        <v>19423449.637362644</v>
      </c>
      <c r="E8" s="947">
        <v>2908893.3076923084</v>
      </c>
      <c r="F8" s="947">
        <v>690703.97802197805</v>
      </c>
      <c r="G8" s="947">
        <v>10272960.824175825</v>
      </c>
      <c r="H8" s="3076">
        <v>33296007.752747253</v>
      </c>
      <c r="I8" s="3077"/>
      <c r="X8" s="421" t="str">
        <f t="shared" si="2"/>
        <v>October-2022 to March 2023</v>
      </c>
      <c r="Y8" s="420">
        <f t="shared" si="0"/>
        <v>33.296007752747251</v>
      </c>
      <c r="Z8" s="420">
        <f t="shared" si="1"/>
        <v>19.423449637362644</v>
      </c>
      <c r="AA8" s="420">
        <f t="shared" si="1"/>
        <v>2.9088933076923085</v>
      </c>
      <c r="AB8" s="420">
        <f t="shared" si="1"/>
        <v>0.69070397802197803</v>
      </c>
      <c r="AC8" s="420">
        <f t="shared" si="1"/>
        <v>10.272960824175826</v>
      </c>
      <c r="AD8" s="422">
        <f t="shared" si="3"/>
        <v>-2.9090827922112594E-2</v>
      </c>
    </row>
    <row r="9" spans="1:30" ht="29.25" customHeight="1" x14ac:dyDescent="0.25">
      <c r="C9" s="511" t="s">
        <v>960</v>
      </c>
      <c r="D9" s="947">
        <v>20653851.110711098</v>
      </c>
      <c r="E9" s="947">
        <v>2652456.164000574</v>
      </c>
      <c r="F9" s="947">
        <v>665809.06354948366</v>
      </c>
      <c r="G9" s="947">
        <v>11370754.712240988</v>
      </c>
      <c r="H9" s="3076">
        <v>35342871.050502144</v>
      </c>
      <c r="I9" s="3077"/>
      <c r="X9" s="421" t="str">
        <f t="shared" si="2"/>
        <v>April-2023 to September 2023</v>
      </c>
      <c r="Y9" s="420">
        <f t="shared" si="0"/>
        <v>35.342871050502147</v>
      </c>
      <c r="Z9" s="420">
        <f t="shared" si="1"/>
        <v>20.653851110711098</v>
      </c>
      <c r="AA9" s="420">
        <f t="shared" si="1"/>
        <v>2.6524561640005739</v>
      </c>
      <c r="AB9" s="420">
        <f t="shared" si="1"/>
        <v>0.66580906354948366</v>
      </c>
      <c r="AC9" s="420">
        <f t="shared" si="1"/>
        <v>11.370754712240988</v>
      </c>
      <c r="AD9" s="422">
        <f t="shared" si="3"/>
        <v>6.1474736339404146E-2</v>
      </c>
    </row>
    <row r="10" spans="1:30" ht="29.25" customHeight="1" x14ac:dyDescent="0.25">
      <c r="C10" s="511" t="s">
        <v>961</v>
      </c>
      <c r="D10" s="947">
        <v>22435094.690819673</v>
      </c>
      <c r="E10" s="947">
        <v>3183787.9726775945</v>
      </c>
      <c r="F10" s="947">
        <v>823008.45355191256</v>
      </c>
      <c r="G10" s="947">
        <v>12117972.136612026</v>
      </c>
      <c r="H10" s="3076">
        <v>38559863.253661208</v>
      </c>
      <c r="I10" s="3077"/>
      <c r="X10" s="421" t="str">
        <f t="shared" si="2"/>
        <v>October-2023 to March 2024</v>
      </c>
      <c r="Y10" s="420">
        <f t="shared" si="0"/>
        <v>38.559863253661206</v>
      </c>
      <c r="Z10" s="420">
        <f t="shared" si="1"/>
        <v>22.435094690819675</v>
      </c>
      <c r="AA10" s="420">
        <f t="shared" si="1"/>
        <v>3.1837879726775946</v>
      </c>
      <c r="AB10" s="420">
        <f t="shared" si="1"/>
        <v>0.82300845355191254</v>
      </c>
      <c r="AC10" s="420">
        <f t="shared" si="1"/>
        <v>12.117972136612027</v>
      </c>
      <c r="AD10" s="422">
        <f t="shared" si="3"/>
        <v>9.1022378984498165E-2</v>
      </c>
    </row>
    <row r="11" spans="1:30" ht="29.25" customHeight="1" x14ac:dyDescent="0.25">
      <c r="C11" s="1125" t="s">
        <v>962</v>
      </c>
      <c r="D11" s="947">
        <v>24544227.8415301</v>
      </c>
      <c r="E11" s="947">
        <v>3134149.7049180334</v>
      </c>
      <c r="F11" s="947">
        <v>806679.55240437144</v>
      </c>
      <c r="G11" s="947">
        <v>13143482.743169401</v>
      </c>
      <c r="H11" s="3076">
        <v>41628539.842021868</v>
      </c>
      <c r="I11" s="3077"/>
      <c r="X11" s="421" t="str">
        <f t="shared" si="2"/>
        <v>April-2024 to September 2024</v>
      </c>
      <c r="Y11" s="420">
        <f t="shared" si="0"/>
        <v>41.628539842021866</v>
      </c>
      <c r="Z11" s="420">
        <f t="shared" si="1"/>
        <v>24.544227841530098</v>
      </c>
      <c r="AA11" s="420">
        <f t="shared" si="1"/>
        <v>3.1341497049180336</v>
      </c>
      <c r="AB11" s="420">
        <f t="shared" si="1"/>
        <v>0.80667955240437139</v>
      </c>
      <c r="AC11" s="420">
        <f t="shared" si="1"/>
        <v>13.1434827431694</v>
      </c>
      <c r="AD11" s="422">
        <f t="shared" si="3"/>
        <v>7.9582143955588158E-2</v>
      </c>
    </row>
    <row r="12" spans="1:30" ht="29.25" customHeight="1" x14ac:dyDescent="0.25">
      <c r="C12" s="1125" t="s">
        <v>2318</v>
      </c>
      <c r="D12" s="947">
        <v>26512805.186813202</v>
      </c>
      <c r="E12" s="947">
        <v>3571189.3269230798</v>
      </c>
      <c r="F12" s="947">
        <v>912944.62087912101</v>
      </c>
      <c r="G12" s="947">
        <v>12727191</v>
      </c>
      <c r="H12" s="3076">
        <v>43724130.524725303</v>
      </c>
      <c r="I12" s="3076"/>
      <c r="K12" s="168"/>
      <c r="L12" s="168"/>
      <c r="M12" s="168"/>
      <c r="N12" s="168"/>
      <c r="X12" s="421" t="str">
        <f t="shared" si="2"/>
        <v>October-2024 to March 2025</v>
      </c>
      <c r="Y12" s="420">
        <f t="shared" si="0"/>
        <v>43.724130524725304</v>
      </c>
      <c r="Z12" s="420">
        <f t="shared" si="1"/>
        <v>26.512805186813203</v>
      </c>
      <c r="AA12" s="420">
        <f t="shared" si="1"/>
        <v>3.5711893269230797</v>
      </c>
      <c r="AB12" s="420">
        <f t="shared" si="1"/>
        <v>0.91294462087912098</v>
      </c>
      <c r="AC12" s="420">
        <f t="shared" si="1"/>
        <v>12.727190999999999</v>
      </c>
      <c r="AD12" s="422">
        <f t="shared" si="3"/>
        <v>5.0340239908872597E-2</v>
      </c>
    </row>
    <row r="13" spans="1:30" ht="29.25" customHeight="1" x14ac:dyDescent="0.25">
      <c r="C13" s="1444" t="s">
        <v>2504</v>
      </c>
      <c r="D13" s="1445">
        <v>28441500</v>
      </c>
      <c r="E13" s="1445">
        <v>3462836</v>
      </c>
      <c r="F13" s="1445">
        <v>828160</v>
      </c>
      <c r="G13" s="1445">
        <v>12767887</v>
      </c>
      <c r="H13" s="3078">
        <v>45500383</v>
      </c>
      <c r="I13" s="3079"/>
      <c r="K13" s="168"/>
      <c r="L13" s="168"/>
      <c r="M13" s="168"/>
      <c r="N13" s="168"/>
      <c r="X13" s="421" t="str">
        <f t="shared" si="2"/>
        <v>April-2025 to September 2025</v>
      </c>
      <c r="Y13" s="543">
        <f t="shared" si="0"/>
        <v>45.500382999999999</v>
      </c>
      <c r="Z13" s="420">
        <f t="shared" si="1"/>
        <v>28.441500000000001</v>
      </c>
      <c r="AA13" s="420">
        <f t="shared" si="1"/>
        <v>3.4628359999999998</v>
      </c>
      <c r="AB13" s="420">
        <f t="shared" si="1"/>
        <v>0.82816000000000001</v>
      </c>
      <c r="AC13" s="420">
        <f t="shared" si="1"/>
        <v>12.767887</v>
      </c>
      <c r="AD13" s="1037"/>
    </row>
    <row r="14" spans="1:30" ht="29.25" customHeight="1" x14ac:dyDescent="0.25">
      <c r="C14" s="2315" t="s">
        <v>2960</v>
      </c>
      <c r="D14" s="1448">
        <v>30482084.758241758</v>
      </c>
      <c r="E14" s="1448">
        <v>3776726.3956043976</v>
      </c>
      <c r="F14" s="1448">
        <v>1030074.9010989011</v>
      </c>
      <c r="G14" s="1448">
        <v>12808240.593406592</v>
      </c>
      <c r="H14" s="3088">
        <v>48097126.648351602</v>
      </c>
      <c r="I14" s="3089"/>
      <c r="K14" s="168"/>
      <c r="L14" s="168"/>
      <c r="M14" s="168"/>
      <c r="N14" s="168"/>
      <c r="X14" s="421" t="str">
        <f t="shared" si="2"/>
        <v>October-2025 to March 2026(P)</v>
      </c>
      <c r="Y14" s="543">
        <f t="shared" si="0"/>
        <v>48.097126648351605</v>
      </c>
      <c r="Z14" s="420">
        <f t="shared" si="1"/>
        <v>30.482084758241758</v>
      </c>
      <c r="AA14" s="420">
        <f t="shared" si="1"/>
        <v>3.7767263956043977</v>
      </c>
      <c r="AB14" s="420">
        <f t="shared" si="1"/>
        <v>1.030074901098901</v>
      </c>
      <c r="AC14" s="420">
        <f t="shared" si="1"/>
        <v>12.808240593406591</v>
      </c>
      <c r="AD14" s="1037"/>
    </row>
    <row r="15" spans="1:30" ht="40.5" customHeight="1" x14ac:dyDescent="0.25">
      <c r="B15" s="1454"/>
      <c r="C15" s="3090" t="s">
        <v>2961</v>
      </c>
      <c r="D15" s="3091"/>
      <c r="E15" s="3091"/>
      <c r="F15" s="3091"/>
      <c r="G15" s="3091"/>
      <c r="H15" s="3091"/>
      <c r="I15" s="3092"/>
      <c r="X15" s="997"/>
      <c r="Y15" s="543"/>
      <c r="Z15" s="420"/>
      <c r="AA15" s="420"/>
      <c r="AB15" s="420"/>
      <c r="AC15" s="420"/>
      <c r="AD15" s="1037"/>
    </row>
    <row r="16" spans="1:30" ht="19.5" customHeight="1" x14ac:dyDescent="0.25">
      <c r="C16" s="3093" t="s">
        <v>963</v>
      </c>
      <c r="D16" s="3094"/>
      <c r="E16" s="3094"/>
      <c r="F16" s="3094"/>
      <c r="G16" s="3094"/>
      <c r="H16" s="3094"/>
      <c r="I16" s="3095"/>
      <c r="X16" s="997"/>
      <c r="Y16" s="543"/>
      <c r="Z16" s="420"/>
      <c r="AA16" s="420"/>
      <c r="AB16" s="420"/>
      <c r="AC16" s="420"/>
      <c r="AD16" s="1037"/>
    </row>
    <row r="17" spans="3:29" ht="49.5" x14ac:dyDescent="0.25">
      <c r="C17" s="540"/>
      <c r="I17" s="644"/>
      <c r="Z17" s="419" t="s">
        <v>947</v>
      </c>
      <c r="AA17" s="419" t="s">
        <v>951</v>
      </c>
      <c r="AB17" s="419" t="s">
        <v>952</v>
      </c>
      <c r="AC17" s="419" t="s">
        <v>953</v>
      </c>
    </row>
    <row r="18" spans="3:29" ht="31.5" x14ac:dyDescent="0.25">
      <c r="C18" s="540"/>
      <c r="I18" s="644"/>
      <c r="X18" s="421" t="s">
        <v>956</v>
      </c>
      <c r="Y18" s="417"/>
      <c r="Z18" s="423" t="e">
        <f>(Z5/#REF!-1)*100</f>
        <v>#REF!</v>
      </c>
      <c r="AA18" s="423" t="e">
        <f>(AA5/#REF!-1)*100</f>
        <v>#REF!</v>
      </c>
      <c r="AB18" s="423" t="e">
        <f>(AB5/#REF!-1)*100</f>
        <v>#REF!</v>
      </c>
      <c r="AC18" s="423" t="e">
        <f>(AC5/#REF!-1)*100</f>
        <v>#REF!</v>
      </c>
    </row>
    <row r="19" spans="3:29" x14ac:dyDescent="0.25">
      <c r="C19" s="540"/>
      <c r="I19" s="644"/>
      <c r="X19" s="418" t="s">
        <v>957</v>
      </c>
      <c r="Y19" s="417"/>
      <c r="Z19" s="423">
        <f>(Z6/Z5-1)*100</f>
        <v>30.332908924474623</v>
      </c>
      <c r="AA19" s="423">
        <f>(AA6/AA5-1)*100</f>
        <v>14.0702785055405</v>
      </c>
      <c r="AB19" s="423">
        <f>(AB6/AB5-1)*100</f>
        <v>38.699856534408084</v>
      </c>
      <c r="AC19" s="423">
        <f>(AC6/AC5-1)*100</f>
        <v>-2.3685958463887102</v>
      </c>
    </row>
    <row r="20" spans="3:29" x14ac:dyDescent="0.25">
      <c r="C20" s="540"/>
      <c r="I20" s="644"/>
    </row>
    <row r="21" spans="3:29" x14ac:dyDescent="0.25">
      <c r="C21" s="540"/>
      <c r="I21" s="644"/>
    </row>
    <row r="22" spans="3:29" x14ac:dyDescent="0.25">
      <c r="C22" s="540"/>
      <c r="I22" s="644"/>
    </row>
    <row r="23" spans="3:29" x14ac:dyDescent="0.25">
      <c r="C23" s="540"/>
      <c r="I23" s="644"/>
    </row>
    <row r="24" spans="3:29" x14ac:dyDescent="0.25">
      <c r="C24" s="540"/>
      <c r="I24" s="644"/>
    </row>
    <row r="25" spans="3:29" x14ac:dyDescent="0.25">
      <c r="C25" s="540"/>
      <c r="I25" s="644"/>
    </row>
    <row r="26" spans="3:29" x14ac:dyDescent="0.25">
      <c r="C26" s="540"/>
      <c r="I26" s="644"/>
    </row>
    <row r="27" spans="3:29" x14ac:dyDescent="0.25">
      <c r="C27" s="540"/>
      <c r="I27" s="644"/>
    </row>
    <row r="28" spans="3:29" x14ac:dyDescent="0.25">
      <c r="C28" s="540"/>
      <c r="I28" s="644"/>
    </row>
    <row r="29" spans="3:29" x14ac:dyDescent="0.25">
      <c r="C29" s="540"/>
      <c r="I29" s="644"/>
    </row>
    <row r="30" spans="3:29" x14ac:dyDescent="0.25">
      <c r="C30" s="540"/>
      <c r="I30" s="644"/>
    </row>
    <row r="31" spans="3:29" x14ac:dyDescent="0.25">
      <c r="C31" s="540"/>
      <c r="I31" s="644"/>
    </row>
    <row r="32" spans="3:29" x14ac:dyDescent="0.25">
      <c r="C32" s="540"/>
      <c r="I32" s="644"/>
    </row>
    <row r="33" spans="3:9" x14ac:dyDescent="0.25">
      <c r="C33" s="540"/>
      <c r="I33" s="644"/>
    </row>
    <row r="34" spans="3:9" hidden="1" x14ac:dyDescent="0.25">
      <c r="C34" s="540"/>
      <c r="I34" s="644"/>
    </row>
    <row r="35" spans="3:9" hidden="1" x14ac:dyDescent="0.25">
      <c r="C35" s="540"/>
      <c r="I35" s="644"/>
    </row>
    <row r="36" spans="3:9" hidden="1" x14ac:dyDescent="0.25">
      <c r="C36" s="540"/>
      <c r="I36" s="644"/>
    </row>
    <row r="37" spans="3:9" hidden="1" x14ac:dyDescent="0.25">
      <c r="C37" s="540"/>
      <c r="I37" s="644"/>
    </row>
    <row r="38" spans="3:9" hidden="1" x14ac:dyDescent="0.25">
      <c r="C38" s="540"/>
      <c r="I38" s="644"/>
    </row>
    <row r="39" spans="3:9" hidden="1" x14ac:dyDescent="0.25">
      <c r="C39" s="540"/>
      <c r="I39" s="644"/>
    </row>
    <row r="40" spans="3:9" hidden="1" x14ac:dyDescent="0.25">
      <c r="C40" s="540"/>
      <c r="I40" s="644"/>
    </row>
    <row r="41" spans="3:9" hidden="1" x14ac:dyDescent="0.25">
      <c r="C41" s="540"/>
      <c r="I41" s="644"/>
    </row>
    <row r="42" spans="3:9" hidden="1" x14ac:dyDescent="0.25">
      <c r="C42" s="540"/>
      <c r="I42" s="644"/>
    </row>
    <row r="43" spans="3:9" hidden="1" x14ac:dyDescent="0.25">
      <c r="C43" s="540"/>
      <c r="I43" s="644"/>
    </row>
    <row r="44" spans="3:9" hidden="1" x14ac:dyDescent="0.25">
      <c r="C44" s="540"/>
      <c r="I44" s="644"/>
    </row>
    <row r="45" spans="3:9" hidden="1" x14ac:dyDescent="0.25">
      <c r="C45" s="540"/>
      <c r="I45" s="644"/>
    </row>
    <row r="46" spans="3:9" hidden="1" x14ac:dyDescent="0.25">
      <c r="C46" s="540"/>
      <c r="I46" s="644"/>
    </row>
    <row r="47" spans="3:9" hidden="1" x14ac:dyDescent="0.25">
      <c r="C47" s="540"/>
      <c r="I47" s="644"/>
    </row>
    <row r="48" spans="3:9" hidden="1" x14ac:dyDescent="0.25">
      <c r="C48" s="540"/>
      <c r="I48" s="644"/>
    </row>
    <row r="49" spans="3:9" hidden="1" x14ac:dyDescent="0.25">
      <c r="C49" s="540"/>
      <c r="I49" s="644"/>
    </row>
    <row r="50" spans="3:9" hidden="1" x14ac:dyDescent="0.25">
      <c r="C50" s="540"/>
      <c r="I50" s="644"/>
    </row>
    <row r="51" spans="3:9" hidden="1" x14ac:dyDescent="0.25">
      <c r="C51" s="540"/>
      <c r="I51" s="644"/>
    </row>
    <row r="52" spans="3:9" hidden="1" x14ac:dyDescent="0.25">
      <c r="C52" s="540"/>
      <c r="I52" s="644"/>
    </row>
    <row r="53" spans="3:9" hidden="1" x14ac:dyDescent="0.25">
      <c r="C53" s="540"/>
      <c r="I53" s="644"/>
    </row>
    <row r="54" spans="3:9" hidden="1" x14ac:dyDescent="0.25">
      <c r="C54" s="540"/>
      <c r="I54" s="644"/>
    </row>
    <row r="55" spans="3:9" hidden="1" x14ac:dyDescent="0.25">
      <c r="C55" s="540"/>
      <c r="I55" s="644"/>
    </row>
    <row r="56" spans="3:9" hidden="1" x14ac:dyDescent="0.25">
      <c r="C56" s="540"/>
      <c r="I56" s="644"/>
    </row>
    <row r="57" spans="3:9" x14ac:dyDescent="0.25">
      <c r="C57" s="540"/>
      <c r="I57" s="644"/>
    </row>
    <row r="58" spans="3:9" x14ac:dyDescent="0.25">
      <c r="C58" s="540"/>
      <c r="I58" s="644"/>
    </row>
    <row r="59" spans="3:9" x14ac:dyDescent="0.25">
      <c r="C59" s="540"/>
      <c r="I59" s="644"/>
    </row>
    <row r="60" spans="3:9" x14ac:dyDescent="0.25">
      <c r="C60" s="540"/>
      <c r="I60" s="644"/>
    </row>
    <row r="61" spans="3:9" hidden="1" x14ac:dyDescent="0.25">
      <c r="C61" s="540"/>
      <c r="I61" s="644"/>
    </row>
    <row r="62" spans="3:9" hidden="1" x14ac:dyDescent="0.25">
      <c r="C62" s="540"/>
      <c r="I62" s="644"/>
    </row>
    <row r="63" spans="3:9" hidden="1" x14ac:dyDescent="0.25">
      <c r="C63" s="540"/>
      <c r="I63" s="644"/>
    </row>
    <row r="64" spans="3:9" ht="1.5" customHeight="1" x14ac:dyDescent="0.25">
      <c r="C64" s="540"/>
      <c r="I64" s="644"/>
    </row>
    <row r="65" spans="2:9" x14ac:dyDescent="0.25">
      <c r="C65" s="1446"/>
      <c r="I65" s="644"/>
    </row>
    <row r="66" spans="2:9" ht="27" customHeight="1" x14ac:dyDescent="0.25">
      <c r="C66" s="3096" t="s">
        <v>2505</v>
      </c>
      <c r="D66" s="3097"/>
      <c r="E66" s="3097"/>
      <c r="F66" s="3097"/>
      <c r="G66" s="3097"/>
      <c r="H66" s="3097"/>
      <c r="I66" s="3098"/>
    </row>
    <row r="67" spans="2:9" ht="48" customHeight="1" x14ac:dyDescent="0.25">
      <c r="C67" s="1127" t="s">
        <v>2506</v>
      </c>
      <c r="D67" s="31" t="s">
        <v>947</v>
      </c>
      <c r="E67" s="31" t="s">
        <v>951</v>
      </c>
      <c r="F67" s="31" t="s">
        <v>952</v>
      </c>
      <c r="G67" s="31" t="s">
        <v>2468</v>
      </c>
      <c r="H67" s="31" t="s">
        <v>954</v>
      </c>
      <c r="I67" s="1198" t="s">
        <v>965</v>
      </c>
    </row>
    <row r="68" spans="2:9" ht="24" customHeight="1" x14ac:dyDescent="0.25">
      <c r="C68" s="1447" t="s">
        <v>77</v>
      </c>
      <c r="D68" s="1448">
        <v>5562.7154626012853</v>
      </c>
      <c r="E68" s="1448">
        <v>959.38770440444875</v>
      </c>
      <c r="F68" s="1448">
        <v>212.95627237899834</v>
      </c>
      <c r="G68" s="1448">
        <v>5124.1943304376018</v>
      </c>
      <c r="H68" s="1448">
        <v>11859.253769822335</v>
      </c>
      <c r="I68" s="1449">
        <v>32</v>
      </c>
    </row>
    <row r="69" spans="2:9" ht="24" customHeight="1" x14ac:dyDescent="0.25">
      <c r="C69" s="1447" t="s">
        <v>11</v>
      </c>
      <c r="D69" s="1448">
        <v>7000.8826399018189</v>
      </c>
      <c r="E69" s="1448">
        <v>999.90668254902164</v>
      </c>
      <c r="F69" s="1448">
        <v>248.51430066904521</v>
      </c>
      <c r="G69" s="1448">
        <v>4086.3055549463206</v>
      </c>
      <c r="H69" s="1448">
        <v>12335.609179066209</v>
      </c>
      <c r="I69" s="1449">
        <v>33.796189531688242</v>
      </c>
    </row>
    <row r="70" spans="2:9" ht="24" customHeight="1" x14ac:dyDescent="0.25">
      <c r="C70" s="1447" t="s">
        <v>382</v>
      </c>
      <c r="D70" s="1448">
        <v>7885</v>
      </c>
      <c r="E70" s="1448">
        <v>1068</v>
      </c>
      <c r="F70" s="1448">
        <v>272</v>
      </c>
      <c r="G70" s="1448">
        <v>4298</v>
      </c>
      <c r="H70" s="1448">
        <v>13524</v>
      </c>
      <c r="I70" s="1449">
        <v>37</v>
      </c>
    </row>
    <row r="71" spans="2:9" ht="24" customHeight="1" x14ac:dyDescent="0.25">
      <c r="C71" s="1447" t="s">
        <v>2498</v>
      </c>
      <c r="D71" s="1448">
        <v>9316.9242389999999</v>
      </c>
      <c r="E71" s="1448">
        <v>1223.5058535000003</v>
      </c>
      <c r="F71" s="1448">
        <v>313.77827909000007</v>
      </c>
      <c r="G71" s="1448">
        <v>4721.6061750000008</v>
      </c>
      <c r="H71" s="1448">
        <v>15575.814546590002</v>
      </c>
      <c r="I71" s="1449">
        <v>42.673464511205481</v>
      </c>
    </row>
    <row r="72" spans="2:9" ht="24" customHeight="1" x14ac:dyDescent="0.25">
      <c r="C72" s="2314" t="s">
        <v>2479</v>
      </c>
      <c r="D72" s="1448">
        <v>10752.533842000001</v>
      </c>
      <c r="E72" s="1448">
        <v>1305.266302</v>
      </c>
      <c r="F72" s="1448">
        <v>354.82382500000006</v>
      </c>
      <c r="G72" s="1448">
        <v>4667.6231589999998</v>
      </c>
      <c r="H72" s="1448">
        <v>17080.247127999999</v>
      </c>
      <c r="I72" s="1448">
        <v>46.79875479412118</v>
      </c>
    </row>
    <row r="73" spans="2:9" ht="28.5" customHeight="1" thickBot="1" x14ac:dyDescent="0.3">
      <c r="C73" s="3080" t="s">
        <v>2962</v>
      </c>
      <c r="D73" s="3081"/>
      <c r="E73" s="3081"/>
      <c r="F73" s="3081"/>
      <c r="G73" s="3081"/>
      <c r="H73" s="3081"/>
      <c r="I73" s="3082"/>
    </row>
    <row r="74" spans="2:9" ht="21" thickBot="1" x14ac:dyDescent="0.35">
      <c r="C74" s="3073" t="s">
        <v>2589</v>
      </c>
      <c r="D74" s="3074"/>
      <c r="E74" s="3074"/>
      <c r="F74" s="3074"/>
      <c r="G74" s="3074"/>
      <c r="H74" s="3074"/>
      <c r="I74" s="3075"/>
    </row>
    <row r="75" spans="2:9" x14ac:dyDescent="0.25">
      <c r="C75" s="540"/>
      <c r="I75" s="644"/>
    </row>
    <row r="76" spans="2:9" x14ac:dyDescent="0.25">
      <c r="B76" s="2780"/>
      <c r="C76" s="540"/>
      <c r="I76" s="644"/>
    </row>
    <row r="77" spans="2:9" x14ac:dyDescent="0.25">
      <c r="B77" s="2780"/>
      <c r="C77" s="540"/>
      <c r="I77" s="644"/>
    </row>
    <row r="78" spans="2:9" x14ac:dyDescent="0.25">
      <c r="B78" s="2780"/>
      <c r="C78" s="540"/>
      <c r="I78" s="644"/>
    </row>
    <row r="79" spans="2:9" x14ac:dyDescent="0.25">
      <c r="B79" s="2780"/>
      <c r="I79" s="644"/>
    </row>
    <row r="80" spans="2:9" x14ac:dyDescent="0.25">
      <c r="B80" s="2780"/>
      <c r="C80" s="540"/>
      <c r="I80" s="644"/>
    </row>
    <row r="81" spans="2:9" x14ac:dyDescent="0.25">
      <c r="B81" s="2780"/>
      <c r="C81" s="540"/>
      <c r="I81" s="644"/>
    </row>
    <row r="82" spans="2:9" x14ac:dyDescent="0.25">
      <c r="B82" s="2780"/>
      <c r="C82" s="540"/>
      <c r="I82" s="644"/>
    </row>
    <row r="83" spans="2:9" x14ac:dyDescent="0.25">
      <c r="B83" s="2780"/>
      <c r="C83" s="540"/>
      <c r="I83" s="644"/>
    </row>
    <row r="84" spans="2:9" x14ac:dyDescent="0.25">
      <c r="B84" s="2780"/>
      <c r="C84" s="540"/>
      <c r="I84" s="644"/>
    </row>
    <row r="85" spans="2:9" x14ac:dyDescent="0.25">
      <c r="B85" s="2780"/>
      <c r="C85" s="540"/>
      <c r="I85" s="644"/>
    </row>
    <row r="86" spans="2:9" x14ac:dyDescent="0.25">
      <c r="B86" s="2780"/>
      <c r="C86" s="540"/>
      <c r="I86" s="644"/>
    </row>
    <row r="87" spans="2:9" x14ac:dyDescent="0.25">
      <c r="B87" s="2780"/>
      <c r="C87" s="540"/>
      <c r="I87" s="644"/>
    </row>
    <row r="88" spans="2:9" x14ac:dyDescent="0.25">
      <c r="B88" s="2780"/>
      <c r="C88" s="540"/>
      <c r="I88" s="644"/>
    </row>
    <row r="89" spans="2:9" x14ac:dyDescent="0.25">
      <c r="B89" s="2780"/>
      <c r="C89" s="540"/>
      <c r="I89" s="644"/>
    </row>
    <row r="90" spans="2:9" x14ac:dyDescent="0.25">
      <c r="B90" s="2780"/>
      <c r="C90" s="540"/>
      <c r="I90" s="644"/>
    </row>
    <row r="91" spans="2:9" x14ac:dyDescent="0.25">
      <c r="C91" s="540"/>
      <c r="I91" s="644"/>
    </row>
    <row r="92" spans="2:9" x14ac:dyDescent="0.25">
      <c r="C92" s="540"/>
      <c r="I92" s="644"/>
    </row>
    <row r="93" spans="2:9" x14ac:dyDescent="0.25">
      <c r="C93" s="540"/>
      <c r="I93" s="644"/>
    </row>
    <row r="94" spans="2:9" ht="16.5" thickBot="1" x14ac:dyDescent="0.3">
      <c r="C94" s="542"/>
      <c r="D94" s="645"/>
      <c r="E94" s="645"/>
      <c r="F94" s="645"/>
      <c r="G94" s="645"/>
      <c r="H94" s="645"/>
      <c r="I94" s="646"/>
    </row>
    <row r="122" spans="3:23" ht="16.5" x14ac:dyDescent="0.3">
      <c r="C122" s="3064" t="s">
        <v>968</v>
      </c>
      <c r="D122" s="3065"/>
      <c r="E122" s="3065"/>
      <c r="F122" s="3065"/>
      <c r="G122" s="3065"/>
      <c r="H122" s="3066"/>
    </row>
    <row r="123" spans="3:23" ht="33" x14ac:dyDescent="0.25">
      <c r="C123" s="419" t="s">
        <v>900</v>
      </c>
      <c r="D123" s="419" t="s">
        <v>947</v>
      </c>
      <c r="E123" s="419" t="s">
        <v>951</v>
      </c>
      <c r="F123" s="419" t="s">
        <v>952</v>
      </c>
      <c r="G123" s="419" t="s">
        <v>953</v>
      </c>
      <c r="H123" s="419" t="s">
        <v>954</v>
      </c>
    </row>
    <row r="124" spans="3:23" x14ac:dyDescent="0.25">
      <c r="C124" s="421" t="s">
        <v>2728</v>
      </c>
      <c r="D124" s="216">
        <f>D5/$H5*100</f>
        <v>43.560678403088176</v>
      </c>
      <c r="E124" s="216">
        <f>E5/$H5*100</f>
        <v>8.0820781708272289</v>
      </c>
      <c r="F124" s="216">
        <f>F5/$H5*100</f>
        <v>1.60930473212926</v>
      </c>
      <c r="G124" s="216">
        <f>G5/$H5*100</f>
        <v>46.747935403394465</v>
      </c>
      <c r="H124" s="424">
        <f t="shared" ref="H124:H130" si="4">SUM(D124:G124)</f>
        <v>99.999996709439131</v>
      </c>
      <c r="J124" s="168"/>
      <c r="K124" s="168"/>
      <c r="L124" s="168"/>
      <c r="M124" s="168"/>
      <c r="N124" s="168"/>
      <c r="U124" s="168"/>
      <c r="V124" s="168"/>
      <c r="W124" s="168"/>
    </row>
    <row r="125" spans="3:23" ht="13.5" customHeight="1" x14ac:dyDescent="0.25">
      <c r="C125" s="421" t="s">
        <v>2729</v>
      </c>
      <c r="D125" s="216">
        <f t="shared" ref="D125:G133" si="5">D6/$H6*100</f>
        <v>49.860309881415169</v>
      </c>
      <c r="E125" s="216">
        <f t="shared" si="5"/>
        <v>8.0965834919684951</v>
      </c>
      <c r="F125" s="216">
        <f t="shared" si="5"/>
        <v>1.9602910193516585</v>
      </c>
      <c r="G125" s="216">
        <f t="shared" si="5"/>
        <v>40.082815607264685</v>
      </c>
      <c r="H125" s="424">
        <f t="shared" si="4"/>
        <v>100</v>
      </c>
      <c r="J125" s="168"/>
      <c r="K125" s="168"/>
      <c r="L125" s="168"/>
      <c r="M125" s="168"/>
      <c r="N125" s="168"/>
      <c r="U125" s="168"/>
      <c r="V125" s="168"/>
      <c r="W125" s="168"/>
    </row>
    <row r="126" spans="3:23" x14ac:dyDescent="0.25">
      <c r="C126" s="421" t="s">
        <v>2730</v>
      </c>
      <c r="D126" s="216">
        <f t="shared" si="5"/>
        <v>55.225633041108203</v>
      </c>
      <c r="E126" s="216">
        <f t="shared" si="5"/>
        <v>7.496939290259454</v>
      </c>
      <c r="F126" s="216">
        <f t="shared" si="5"/>
        <v>1.9568410973250145</v>
      </c>
      <c r="G126" s="216">
        <f t="shared" si="5"/>
        <v>35.320586571307267</v>
      </c>
      <c r="H126" s="424">
        <f t="shared" si="4"/>
        <v>99.999999999999943</v>
      </c>
      <c r="J126" s="168"/>
      <c r="K126" s="168"/>
      <c r="L126" s="168"/>
      <c r="M126" s="168"/>
      <c r="N126" s="168"/>
      <c r="O126" s="168"/>
      <c r="P126" s="168"/>
      <c r="Q126" s="168"/>
      <c r="R126" s="168"/>
      <c r="S126" s="168"/>
      <c r="T126" s="168"/>
      <c r="U126" s="168"/>
      <c r="V126" s="168"/>
      <c r="W126" s="168"/>
    </row>
    <row r="127" spans="3:23" x14ac:dyDescent="0.25">
      <c r="C127" s="421" t="s">
        <v>2731</v>
      </c>
      <c r="D127" s="216">
        <f t="shared" si="5"/>
        <v>58.335671296088087</v>
      </c>
      <c r="E127" s="216">
        <f t="shared" si="5"/>
        <v>8.7364627293862149</v>
      </c>
      <c r="F127" s="216">
        <f t="shared" si="5"/>
        <v>2.0744348185856851</v>
      </c>
      <c r="G127" s="216">
        <f t="shared" si="5"/>
        <v>30.853431139438044</v>
      </c>
      <c r="H127" s="424">
        <f t="shared" si="4"/>
        <v>99.999999983498029</v>
      </c>
      <c r="J127" s="168"/>
      <c r="K127" s="168"/>
      <c r="L127" s="168"/>
      <c r="M127" s="168"/>
      <c r="N127" s="168"/>
      <c r="O127" s="168"/>
      <c r="P127" s="168"/>
      <c r="Q127" s="168"/>
      <c r="R127" s="168"/>
      <c r="S127" s="168"/>
      <c r="T127" s="168"/>
      <c r="U127" s="168"/>
      <c r="V127" s="168"/>
      <c r="W127" s="168"/>
    </row>
    <row r="128" spans="3:23" x14ac:dyDescent="0.25">
      <c r="C128" s="421" t="s">
        <v>2732</v>
      </c>
      <c r="D128" s="216">
        <f t="shared" si="5"/>
        <v>58.438520971310993</v>
      </c>
      <c r="E128" s="216">
        <f t="shared" si="5"/>
        <v>7.5049255625283697</v>
      </c>
      <c r="F128" s="216">
        <f t="shared" si="5"/>
        <v>1.8838567545859406</v>
      </c>
      <c r="G128" s="216">
        <f t="shared" si="5"/>
        <v>32.172696711574694</v>
      </c>
      <c r="H128" s="424">
        <f t="shared" si="4"/>
        <v>100</v>
      </c>
      <c r="J128" s="168"/>
      <c r="K128" s="168"/>
      <c r="L128" s="168"/>
      <c r="M128" s="168"/>
      <c r="N128" s="168"/>
      <c r="O128" s="168"/>
      <c r="P128" s="168"/>
      <c r="Q128" s="168"/>
      <c r="R128" s="168"/>
      <c r="S128" s="168"/>
      <c r="T128" s="168"/>
      <c r="U128" s="168"/>
      <c r="V128" s="168"/>
      <c r="W128" s="168"/>
    </row>
    <row r="129" spans="3:26" x14ac:dyDescent="0.25">
      <c r="C129" s="421" t="s">
        <v>2733</v>
      </c>
      <c r="D129" s="216">
        <f t="shared" si="5"/>
        <v>58.182505843532759</v>
      </c>
      <c r="E129" s="216">
        <f t="shared" si="5"/>
        <v>8.2567408284968398</v>
      </c>
      <c r="F129" s="216">
        <f t="shared" si="5"/>
        <v>2.1343655918535163</v>
      </c>
      <c r="G129" s="216">
        <f t="shared" si="5"/>
        <v>31.426387736116883</v>
      </c>
      <c r="H129" s="424">
        <f t="shared" si="4"/>
        <v>100</v>
      </c>
      <c r="N129" s="168"/>
      <c r="O129" s="168"/>
      <c r="P129" s="168"/>
      <c r="Q129" s="168"/>
      <c r="R129" s="168"/>
      <c r="S129" s="168"/>
      <c r="T129" s="168"/>
      <c r="U129" s="168"/>
      <c r="V129" s="168"/>
      <c r="W129" s="168"/>
      <c r="Z129" s="112" t="e">
        <f>((Z5/#REF!)-1)*100</f>
        <v>#REF!</v>
      </c>
    </row>
    <row r="130" spans="3:26" x14ac:dyDescent="0.25">
      <c r="C130" s="421" t="s">
        <v>2734</v>
      </c>
      <c r="D130" s="216">
        <f t="shared" si="5"/>
        <v>58.960097891192341</v>
      </c>
      <c r="E130" s="216">
        <f t="shared" si="5"/>
        <v>7.528848517896539</v>
      </c>
      <c r="F130" s="216">
        <f t="shared" si="5"/>
        <v>1.9378041013825569</v>
      </c>
      <c r="G130" s="216">
        <f t="shared" si="5"/>
        <v>31.573249489528653</v>
      </c>
      <c r="H130" s="424">
        <f t="shared" si="4"/>
        <v>100.00000000000009</v>
      </c>
      <c r="N130" s="168"/>
      <c r="O130" s="168"/>
      <c r="P130" s="168"/>
      <c r="Q130" s="168"/>
      <c r="R130" s="168"/>
      <c r="S130" s="168"/>
      <c r="T130" s="168"/>
      <c r="U130" s="168"/>
      <c r="V130" s="168"/>
      <c r="W130" s="168"/>
    </row>
    <row r="131" spans="3:26" x14ac:dyDescent="0.25">
      <c r="C131" s="421" t="s">
        <v>2735</v>
      </c>
      <c r="D131" s="216">
        <f t="shared" si="5"/>
        <v>60.636552102095273</v>
      </c>
      <c r="E131" s="216">
        <f t="shared" si="5"/>
        <v>8.1675479513620726</v>
      </c>
      <c r="F131" s="216">
        <f t="shared" si="5"/>
        <v>2.0879651806063135</v>
      </c>
      <c r="G131" s="216">
        <f t="shared" si="5"/>
        <v>29.107933873729003</v>
      </c>
      <c r="H131" s="424">
        <v>100</v>
      </c>
      <c r="N131" s="168"/>
      <c r="O131" s="168"/>
      <c r="P131" s="168"/>
      <c r="Q131" s="168"/>
      <c r="R131" s="168"/>
      <c r="S131" s="168"/>
      <c r="T131" s="168"/>
      <c r="U131" s="168"/>
      <c r="V131" s="168"/>
      <c r="W131" s="168"/>
    </row>
    <row r="132" spans="3:26" x14ac:dyDescent="0.25">
      <c r="C132" s="421" t="s">
        <v>2736</v>
      </c>
      <c r="D132" s="216">
        <f t="shared" si="5"/>
        <v>62.508265040318456</v>
      </c>
      <c r="E132" s="216">
        <f t="shared" si="5"/>
        <v>7.6105645088745728</v>
      </c>
      <c r="F132" s="216">
        <f t="shared" si="5"/>
        <v>1.8201165471508229</v>
      </c>
      <c r="G132" s="216">
        <f t="shared" si="5"/>
        <v>28.061053903656152</v>
      </c>
      <c r="H132" s="424">
        <v>100</v>
      </c>
      <c r="N132" s="168"/>
      <c r="O132" s="168"/>
      <c r="P132" s="168"/>
      <c r="Q132" s="168"/>
      <c r="R132" s="168"/>
      <c r="S132" s="168"/>
      <c r="T132" s="168"/>
      <c r="U132" s="168"/>
      <c r="V132" s="168"/>
      <c r="W132" s="168"/>
    </row>
    <row r="133" spans="3:26" x14ac:dyDescent="0.25">
      <c r="C133" s="421" t="s">
        <v>2963</v>
      </c>
      <c r="D133" s="216">
        <f t="shared" si="5"/>
        <v>63.376103485563306</v>
      </c>
      <c r="E133" s="216">
        <f t="shared" si="5"/>
        <v>7.8522911009151404</v>
      </c>
      <c r="F133" s="216">
        <f t="shared" si="5"/>
        <v>2.1416557970915795</v>
      </c>
      <c r="G133" s="216">
        <f t="shared" si="5"/>
        <v>26.629949616430064</v>
      </c>
      <c r="H133" s="424">
        <v>100</v>
      </c>
      <c r="N133" s="168"/>
      <c r="O133" s="168"/>
      <c r="P133" s="168"/>
      <c r="Q133" s="168"/>
      <c r="R133" s="168"/>
      <c r="S133" s="168"/>
      <c r="T133" s="168"/>
      <c r="U133" s="168"/>
      <c r="V133" s="168"/>
      <c r="W133" s="168"/>
    </row>
    <row r="134" spans="3:26" x14ac:dyDescent="0.25">
      <c r="C134" s="3067" t="s">
        <v>950</v>
      </c>
      <c r="D134" s="3068"/>
      <c r="E134" s="3068"/>
      <c r="F134" s="3068"/>
      <c r="G134" s="3068"/>
      <c r="H134" s="3069"/>
    </row>
    <row r="135" spans="3:26" x14ac:dyDescent="0.25">
      <c r="C135" s="3067" t="s">
        <v>969</v>
      </c>
      <c r="D135" s="3068"/>
      <c r="E135" s="3068"/>
      <c r="F135" s="3068"/>
      <c r="G135" s="3068"/>
      <c r="H135" s="3069"/>
    </row>
    <row r="137" spans="3:26" ht="16.5" hidden="1" x14ac:dyDescent="0.3">
      <c r="C137" s="3064" t="s">
        <v>964</v>
      </c>
      <c r="D137" s="3065"/>
      <c r="E137" s="3065"/>
      <c r="F137" s="3065"/>
      <c r="G137" s="3065"/>
      <c r="H137" s="3065"/>
      <c r="I137" s="3066"/>
    </row>
    <row r="138" spans="3:26" ht="49.5" hidden="1" x14ac:dyDescent="0.25">
      <c r="C138" s="419" t="s">
        <v>900</v>
      </c>
      <c r="D138" s="419" t="s">
        <v>947</v>
      </c>
      <c r="E138" s="419" t="s">
        <v>951</v>
      </c>
      <c r="F138" s="419" t="s">
        <v>952</v>
      </c>
      <c r="G138" s="419" t="s">
        <v>953</v>
      </c>
      <c r="H138" s="419" t="s">
        <v>954</v>
      </c>
      <c r="I138" s="419" t="s">
        <v>965</v>
      </c>
    </row>
    <row r="139" spans="3:26" hidden="1" x14ac:dyDescent="0.25">
      <c r="C139" s="421" t="s">
        <v>967</v>
      </c>
      <c r="D139" s="424">
        <v>7885</v>
      </c>
      <c r="E139" s="424">
        <v>1068</v>
      </c>
      <c r="F139" s="424">
        <v>272</v>
      </c>
      <c r="G139" s="424">
        <v>4298</v>
      </c>
      <c r="H139" s="424">
        <v>13524</v>
      </c>
      <c r="I139" s="424">
        <v>32.49110672006119</v>
      </c>
    </row>
    <row r="140" spans="3:26" hidden="1" x14ac:dyDescent="0.25">
      <c r="C140" s="421" t="s">
        <v>966</v>
      </c>
      <c r="D140" s="424">
        <v>7000.8826399018189</v>
      </c>
      <c r="E140" s="424">
        <v>999.90668254902164</v>
      </c>
      <c r="F140" s="424">
        <v>248.51430066904521</v>
      </c>
      <c r="G140" s="424">
        <v>4086.3055549463206</v>
      </c>
      <c r="H140" s="424">
        <v>12335.609179066209</v>
      </c>
      <c r="I140" s="424">
        <v>33.796189531688242</v>
      </c>
    </row>
    <row r="142" spans="3:26" hidden="1" x14ac:dyDescent="0.25"/>
    <row r="143" spans="3:26" hidden="1" x14ac:dyDescent="0.25"/>
    <row r="144" spans="3:26" hidden="1" x14ac:dyDescent="0.25"/>
    <row r="145" spans="1:8" ht="18.75" hidden="1" customHeight="1" x14ac:dyDescent="0.25">
      <c r="A145" s="112" t="s">
        <v>970</v>
      </c>
      <c r="C145" s="3070" t="s">
        <v>971</v>
      </c>
      <c r="D145" s="3071"/>
      <c r="E145" s="3071"/>
      <c r="F145" s="3071"/>
      <c r="G145" s="3071"/>
      <c r="H145" s="3072"/>
    </row>
    <row r="146" spans="1:8" ht="25.5" hidden="1" customHeight="1" x14ac:dyDescent="0.25">
      <c r="C146" s="419" t="s">
        <v>900</v>
      </c>
      <c r="D146" s="419" t="s">
        <v>947</v>
      </c>
      <c r="E146" s="419" t="s">
        <v>951</v>
      </c>
      <c r="F146" s="419" t="s">
        <v>952</v>
      </c>
      <c r="G146" s="419" t="s">
        <v>953</v>
      </c>
      <c r="H146" s="419" t="s">
        <v>954</v>
      </c>
    </row>
    <row r="147" spans="1:8" ht="15" hidden="1" customHeight="1" x14ac:dyDescent="0.25">
      <c r="C147" s="418" t="s">
        <v>955</v>
      </c>
      <c r="D147" s="424" t="e">
        <f>D162/#REF!*100</f>
        <v>#REF!</v>
      </c>
      <c r="E147" s="424" t="e">
        <f>E162/#REF!*100</f>
        <v>#REF!</v>
      </c>
      <c r="F147" s="424" t="e">
        <f>F162/#REF!*100</f>
        <v>#REF!</v>
      </c>
      <c r="G147" s="424" t="e">
        <f>G162/#REF!*100</f>
        <v>#REF!</v>
      </c>
      <c r="H147" s="424" t="e">
        <f>H162/#REF!*100</f>
        <v>#REF!</v>
      </c>
    </row>
    <row r="148" spans="1:8" hidden="1" x14ac:dyDescent="0.25">
      <c r="C148" s="421" t="s">
        <v>956</v>
      </c>
      <c r="D148" s="424" t="e">
        <f>(D5-#REF!)/#REF!*100</f>
        <v>#REF!</v>
      </c>
      <c r="E148" s="424" t="e">
        <f>(E5-#REF!)/#REF!*100</f>
        <v>#REF!</v>
      </c>
      <c r="F148" s="424" t="e">
        <f>(F5-#REF!)/#REF!*100</f>
        <v>#REF!</v>
      </c>
      <c r="G148" s="424" t="e">
        <f>(G5-#REF!)/#REF!*100</f>
        <v>#REF!</v>
      </c>
      <c r="H148" s="424" t="e">
        <f>(H5-#REF!)/#REF!*100</f>
        <v>#REF!</v>
      </c>
    </row>
    <row r="149" spans="1:8" hidden="1" x14ac:dyDescent="0.25">
      <c r="C149" s="418" t="s">
        <v>957</v>
      </c>
      <c r="D149" s="424">
        <f t="shared" ref="D149:H153" si="6">(D6-D5)/D5*100</f>
        <v>30.332908924474612</v>
      </c>
      <c r="E149" s="424">
        <f t="shared" si="6"/>
        <v>14.07027850554049</v>
      </c>
      <c r="F149" s="424">
        <f t="shared" si="6"/>
        <v>38.699856534408092</v>
      </c>
      <c r="G149" s="424">
        <f t="shared" si="6"/>
        <v>-2.3685958463887218</v>
      </c>
      <c r="H149" s="424">
        <f t="shared" si="6"/>
        <v>13.865917490300205</v>
      </c>
    </row>
    <row r="150" spans="1:8" hidden="1" x14ac:dyDescent="0.25">
      <c r="C150" s="421" t="s">
        <v>958</v>
      </c>
      <c r="D150" s="424">
        <f t="shared" si="6"/>
        <v>9.7679285087657917</v>
      </c>
      <c r="E150" s="424">
        <f t="shared" si="6"/>
        <v>-8.2360849340965423</v>
      </c>
      <c r="F150" s="424">
        <f t="shared" si="6"/>
        <v>-1.0707425190708684</v>
      </c>
      <c r="G150" s="424">
        <f t="shared" si="6"/>
        <v>-12.670811312134726</v>
      </c>
      <c r="H150" s="424">
        <f t="shared" si="6"/>
        <v>-0.89632967332189895</v>
      </c>
    </row>
    <row r="151" spans="1:8" hidden="1" x14ac:dyDescent="0.25">
      <c r="C151" s="421" t="s">
        <v>959</v>
      </c>
      <c r="D151" s="424">
        <f t="shared" si="6"/>
        <v>2.5586040426782786</v>
      </c>
      <c r="E151" s="424">
        <f t="shared" si="6"/>
        <v>13.143663928271396</v>
      </c>
      <c r="F151" s="424">
        <f t="shared" si="6"/>
        <v>2.9254646683275034</v>
      </c>
      <c r="G151" s="424">
        <f t="shared" si="6"/>
        <v>-15.188613238692342</v>
      </c>
      <c r="H151" s="424">
        <f t="shared" si="6"/>
        <v>-2.9090827922112563</v>
      </c>
    </row>
    <row r="152" spans="1:8" hidden="1" x14ac:dyDescent="0.25">
      <c r="C152" s="421" t="s">
        <v>960</v>
      </c>
      <c r="D152" s="424">
        <f t="shared" si="6"/>
        <v>6.3346187022395473</v>
      </c>
      <c r="E152" s="424">
        <f t="shared" si="6"/>
        <v>-8.8156256200118897</v>
      </c>
      <c r="F152" s="424">
        <f t="shared" si="6"/>
        <v>-3.6042813223383865</v>
      </c>
      <c r="G152" s="424">
        <f t="shared" si="6"/>
        <v>10.686246223013669</v>
      </c>
      <c r="H152" s="424">
        <f t="shared" si="6"/>
        <v>6.1474736339404066</v>
      </c>
    </row>
    <row r="153" spans="1:8" hidden="1" x14ac:dyDescent="0.25">
      <c r="C153" s="421" t="s">
        <v>961</v>
      </c>
      <c r="D153" s="424">
        <f t="shared" si="6"/>
        <v>8.6242685229042912</v>
      </c>
      <c r="E153" s="424">
        <f t="shared" si="6"/>
        <v>20.031690471960069</v>
      </c>
      <c r="F153" s="424">
        <f t="shared" si="6"/>
        <v>23.610280876079674</v>
      </c>
      <c r="G153" s="424">
        <f t="shared" si="6"/>
        <v>6.5713969149878304</v>
      </c>
      <c r="H153" s="424">
        <f t="shared" si="6"/>
        <v>9.1022378984498431</v>
      </c>
    </row>
    <row r="154" spans="1:8" hidden="1" x14ac:dyDescent="0.25">
      <c r="C154" s="421" t="s">
        <v>960</v>
      </c>
      <c r="D154" s="425">
        <v>9.4010441220621708</v>
      </c>
      <c r="E154" s="425">
        <v>-1.5590946440385864</v>
      </c>
      <c r="F154" s="425">
        <v>-1.984050233879056</v>
      </c>
      <c r="G154" s="425">
        <v>8.4627245796266521</v>
      </c>
      <c r="H154" s="426">
        <v>7.958214395558814</v>
      </c>
    </row>
    <row r="155" spans="1:8" ht="15" hidden="1" customHeight="1" x14ac:dyDescent="0.25">
      <c r="C155" s="3067" t="s">
        <v>950</v>
      </c>
      <c r="D155" s="3068"/>
      <c r="E155" s="3068"/>
      <c r="F155" s="3068"/>
      <c r="G155" s="3068"/>
      <c r="H155" s="3069"/>
    </row>
    <row r="156" spans="1:8" ht="15" hidden="1" customHeight="1" x14ac:dyDescent="0.25">
      <c r="C156" s="3067" t="s">
        <v>972</v>
      </c>
      <c r="D156" s="3068"/>
      <c r="E156" s="3068"/>
      <c r="F156" s="3068"/>
      <c r="G156" s="3068"/>
      <c r="H156" s="3069"/>
    </row>
    <row r="157" spans="1:8" hidden="1" x14ac:dyDescent="0.25">
      <c r="C157" s="238"/>
      <c r="D157" s="238"/>
      <c r="E157" s="238"/>
      <c r="F157" s="238"/>
      <c r="G157" s="238"/>
      <c r="H157" s="238"/>
    </row>
    <row r="158" spans="1:8" hidden="1" x14ac:dyDescent="0.25"/>
    <row r="159" spans="1:8" hidden="1" x14ac:dyDescent="0.25"/>
    <row r="160" spans="1:8" ht="17.25" hidden="1" customHeight="1" x14ac:dyDescent="0.3">
      <c r="C160" s="3064" t="s">
        <v>968</v>
      </c>
      <c r="D160" s="3065"/>
      <c r="E160" s="3065"/>
      <c r="F160" s="3065"/>
      <c r="G160" s="3065"/>
      <c r="H160" s="3066"/>
    </row>
    <row r="161" spans="3:8" ht="25.5" hidden="1" customHeight="1" x14ac:dyDescent="0.25">
      <c r="C161" s="419" t="s">
        <v>900</v>
      </c>
      <c r="D161" s="419" t="s">
        <v>947</v>
      </c>
      <c r="E161" s="419" t="s">
        <v>951</v>
      </c>
      <c r="F161" s="419" t="s">
        <v>952</v>
      </c>
      <c r="G161" s="419" t="s">
        <v>953</v>
      </c>
      <c r="H161" s="419" t="s">
        <v>954</v>
      </c>
    </row>
    <row r="162" spans="3:8" ht="15" hidden="1" customHeight="1" x14ac:dyDescent="0.25">
      <c r="C162" s="418" t="s">
        <v>955</v>
      </c>
      <c r="D162" s="424" t="e">
        <f>#REF!/#REF!*100</f>
        <v>#REF!</v>
      </c>
      <c r="E162" s="424" t="e">
        <f>#REF!/#REF!*100</f>
        <v>#REF!</v>
      </c>
      <c r="F162" s="424" t="e">
        <f>#REF!/#REF!*100</f>
        <v>#REF!</v>
      </c>
      <c r="G162" s="424" t="e">
        <f>#REF!/#REF!*100</f>
        <v>#REF!</v>
      </c>
      <c r="H162" s="424" t="e">
        <f>#REF!/#REF!*100</f>
        <v>#REF!</v>
      </c>
    </row>
    <row r="163" spans="3:8" hidden="1" x14ac:dyDescent="0.25">
      <c r="C163" s="421" t="s">
        <v>956</v>
      </c>
      <c r="D163" s="424">
        <f>D5/$H$5*100</f>
        <v>43.560678403088176</v>
      </c>
      <c r="E163" s="424">
        <f>E5/$H$5*100</f>
        <v>8.0820781708272289</v>
      </c>
      <c r="F163" s="424">
        <f>F5/$H$5*100</f>
        <v>1.60930473212926</v>
      </c>
      <c r="G163" s="424">
        <f>G5/$H$5*100</f>
        <v>46.747935403394465</v>
      </c>
      <c r="H163" s="424">
        <f>H5/$H$5*100</f>
        <v>100</v>
      </c>
    </row>
    <row r="164" spans="3:8" hidden="1" x14ac:dyDescent="0.25">
      <c r="C164" s="418" t="s">
        <v>957</v>
      </c>
      <c r="D164" s="424">
        <f>D6/$H$6*100</f>
        <v>49.860309881415169</v>
      </c>
      <c r="E164" s="424">
        <f>E6/$H$6*100</f>
        <v>8.0965834919684951</v>
      </c>
      <c r="F164" s="424">
        <f>F6/$H$6*100</f>
        <v>1.9602910193516585</v>
      </c>
      <c r="G164" s="424">
        <f>G6/$H$6*100</f>
        <v>40.082815607264685</v>
      </c>
      <c r="H164" s="424">
        <f>H6/$H$6*100</f>
        <v>100</v>
      </c>
    </row>
    <row r="165" spans="3:8" hidden="1" x14ac:dyDescent="0.25">
      <c r="C165" s="421" t="s">
        <v>958</v>
      </c>
      <c r="D165" s="424">
        <f>D7/$H$7*100</f>
        <v>55.225633041108203</v>
      </c>
      <c r="E165" s="424">
        <f>E7/$H$7*100</f>
        <v>7.496939290259454</v>
      </c>
      <c r="F165" s="424">
        <f>F7/$H$7*100</f>
        <v>1.9568410973250145</v>
      </c>
      <c r="G165" s="424">
        <f>G7/$H$7*100</f>
        <v>35.320586571307267</v>
      </c>
      <c r="H165" s="424">
        <f>H7/$H$7*100</f>
        <v>100</v>
      </c>
    </row>
    <row r="166" spans="3:8" hidden="1" x14ac:dyDescent="0.25">
      <c r="C166" s="421" t="s">
        <v>959</v>
      </c>
      <c r="D166" s="424">
        <f>D8/$H$8*100</f>
        <v>58.335671296088087</v>
      </c>
      <c r="E166" s="424">
        <f>E8/$H$8*100</f>
        <v>8.7364627293862149</v>
      </c>
      <c r="F166" s="424">
        <f>F8/$H$8*100</f>
        <v>2.0744348185856851</v>
      </c>
      <c r="G166" s="424">
        <f>G8/$H$8*100</f>
        <v>30.853431139438044</v>
      </c>
      <c r="H166" s="424">
        <f>H8/$H$8*100</f>
        <v>100</v>
      </c>
    </row>
    <row r="167" spans="3:8" ht="15" hidden="1" customHeight="1" x14ac:dyDescent="0.25">
      <c r="C167" s="3067" t="s">
        <v>950</v>
      </c>
      <c r="D167" s="3068"/>
      <c r="E167" s="3068"/>
      <c r="F167" s="3068"/>
      <c r="G167" s="3068"/>
      <c r="H167" s="3069"/>
    </row>
    <row r="168" spans="3:8" ht="15" hidden="1" customHeight="1" x14ac:dyDescent="0.25">
      <c r="C168" s="3067" t="s">
        <v>969</v>
      </c>
      <c r="D168" s="3068"/>
      <c r="E168" s="3068"/>
      <c r="F168" s="3068"/>
      <c r="G168" s="3068"/>
      <c r="H168" s="3069"/>
    </row>
    <row r="169" spans="3:8" hidden="1" x14ac:dyDescent="0.25"/>
    <row r="170" spans="3:8" hidden="1" x14ac:dyDescent="0.25"/>
    <row r="171" spans="3:8" hidden="1" x14ac:dyDescent="0.25"/>
    <row r="172" spans="3:8" ht="47.25" hidden="1" x14ac:dyDescent="0.25">
      <c r="C172" s="419" t="s">
        <v>900</v>
      </c>
      <c r="D172" s="427" t="s">
        <v>973</v>
      </c>
      <c r="E172" s="427" t="s">
        <v>947</v>
      </c>
      <c r="F172" s="427" t="s">
        <v>974</v>
      </c>
      <c r="G172" s="427" t="s">
        <v>975</v>
      </c>
      <c r="H172" s="427" t="s">
        <v>976</v>
      </c>
    </row>
    <row r="173" spans="3:8" hidden="1" x14ac:dyDescent="0.25">
      <c r="C173" s="418" t="s">
        <v>955</v>
      </c>
      <c r="D173" s="428">
        <v>32.915720648351645</v>
      </c>
      <c r="E173" s="429">
        <v>12.864910675824172</v>
      </c>
      <c r="F173" s="429">
        <v>2.6210580164835164</v>
      </c>
      <c r="G173" s="429">
        <v>0.92220907692307685</v>
      </c>
      <c r="H173" s="429">
        <v>16.507542879120884</v>
      </c>
    </row>
    <row r="174" spans="3:8" hidden="1" x14ac:dyDescent="0.25">
      <c r="C174" s="421" t="s">
        <v>956</v>
      </c>
      <c r="D174" s="428">
        <v>30.389956000000002</v>
      </c>
      <c r="E174" s="429">
        <v>13.238071</v>
      </c>
      <c r="F174" s="429">
        <v>2.45614</v>
      </c>
      <c r="G174" s="429">
        <v>0.48906699999999997</v>
      </c>
      <c r="H174" s="429">
        <v>14.206676999999999</v>
      </c>
    </row>
    <row r="175" spans="3:8" hidden="1" x14ac:dyDescent="0.25">
      <c r="C175" s="418" t="s">
        <v>957</v>
      </c>
      <c r="D175" s="428">
        <v>34.603802224298533</v>
      </c>
      <c r="E175" s="429">
        <v>17.253563019787286</v>
      </c>
      <c r="F175" s="429">
        <v>2.8017257384859824</v>
      </c>
      <c r="G175" s="429">
        <v>0.67833522735713359</v>
      </c>
      <c r="H175" s="429">
        <v>13.870178238668139</v>
      </c>
    </row>
    <row r="176" spans="3:8" hidden="1" x14ac:dyDescent="0.25">
      <c r="C176" s="421" t="s">
        <v>958</v>
      </c>
      <c r="D176" s="428">
        <v>34.293638076864525</v>
      </c>
      <c r="E176" s="429">
        <v>18.938878720774959</v>
      </c>
      <c r="F176" s="429">
        <v>2.570973227043833</v>
      </c>
      <c r="G176" s="429">
        <v>0.67107200365598474</v>
      </c>
      <c r="H176" s="429">
        <v>12.112714125389727</v>
      </c>
    </row>
    <row r="177" spans="3:13" hidden="1" x14ac:dyDescent="0.25">
      <c r="C177" s="421" t="s">
        <v>959</v>
      </c>
      <c r="D177" s="428">
        <v>33.296007752747251</v>
      </c>
      <c r="E177" s="429">
        <v>19.423449637362644</v>
      </c>
      <c r="F177" s="429">
        <v>2.9088933076923085</v>
      </c>
      <c r="G177" s="429">
        <v>0.69070397802197803</v>
      </c>
      <c r="H177" s="429">
        <v>10.272960824175826</v>
      </c>
    </row>
    <row r="178" spans="3:13" hidden="1" x14ac:dyDescent="0.25"/>
    <row r="179" spans="3:13" hidden="1" x14ac:dyDescent="0.25"/>
    <row r="180" spans="3:13" hidden="1" x14ac:dyDescent="0.25"/>
    <row r="181" spans="3:13" hidden="1" x14ac:dyDescent="0.25"/>
    <row r="182" spans="3:13" hidden="1" x14ac:dyDescent="0.25"/>
    <row r="183" spans="3:13" hidden="1" x14ac:dyDescent="0.25"/>
    <row r="184" spans="3:13" hidden="1" x14ac:dyDescent="0.25"/>
    <row r="185" spans="3:13" hidden="1" x14ac:dyDescent="0.25"/>
    <row r="186" spans="3:13" hidden="1" x14ac:dyDescent="0.25"/>
    <row r="188" spans="3:13" ht="16.5" x14ac:dyDescent="0.3">
      <c r="C188" s="3064" t="s">
        <v>964</v>
      </c>
      <c r="D188" s="3065"/>
      <c r="E188" s="3065"/>
      <c r="F188" s="3065"/>
      <c r="G188" s="3065"/>
      <c r="H188" s="3065"/>
      <c r="I188" s="3066"/>
    </row>
    <row r="189" spans="3:13" ht="49.5" x14ac:dyDescent="0.25">
      <c r="C189" s="419" t="s">
        <v>900</v>
      </c>
      <c r="D189" s="419" t="s">
        <v>947</v>
      </c>
      <c r="E189" s="419" t="s">
        <v>951</v>
      </c>
      <c r="F189" s="419" t="s">
        <v>952</v>
      </c>
      <c r="G189" s="419" t="s">
        <v>953</v>
      </c>
      <c r="H189" s="419" t="s">
        <v>954</v>
      </c>
      <c r="I189" s="419" t="s">
        <v>965</v>
      </c>
      <c r="M189" s="112" t="s">
        <v>2737</v>
      </c>
    </row>
    <row r="190" spans="3:13" x14ac:dyDescent="0.25">
      <c r="C190" s="421" t="s">
        <v>2737</v>
      </c>
      <c r="D190" s="424">
        <v>9316.9242389999999</v>
      </c>
      <c r="E190" s="424">
        <v>1223.5058535000003</v>
      </c>
      <c r="F190" s="424">
        <v>313.77827909000007</v>
      </c>
      <c r="G190" s="424">
        <v>4721.6061750000008</v>
      </c>
      <c r="H190" s="424">
        <v>15575.814546590002</v>
      </c>
      <c r="I190" s="424">
        <v>42.673464511205481</v>
      </c>
    </row>
    <row r="191" spans="3:13" x14ac:dyDescent="0.25">
      <c r="C191" s="421" t="s">
        <v>2737</v>
      </c>
      <c r="D191" s="424">
        <v>7885</v>
      </c>
      <c r="E191" s="424">
        <v>1068</v>
      </c>
      <c r="F191" s="424">
        <v>272</v>
      </c>
      <c r="G191" s="424">
        <v>4298</v>
      </c>
      <c r="H191" s="424">
        <v>13524</v>
      </c>
      <c r="I191" s="424">
        <v>37</v>
      </c>
    </row>
    <row r="196" spans="3:8" ht="33" x14ac:dyDescent="0.25">
      <c r="C196" s="418"/>
      <c r="D196" s="419" t="s">
        <v>947</v>
      </c>
      <c r="E196" s="419" t="s">
        <v>951</v>
      </c>
      <c r="F196" s="419" t="s">
        <v>952</v>
      </c>
      <c r="G196" s="419" t="s">
        <v>953</v>
      </c>
      <c r="H196" s="419" t="s">
        <v>133</v>
      </c>
    </row>
    <row r="197" spans="3:8" x14ac:dyDescent="0.25">
      <c r="C197" s="421" t="str">
        <f t="shared" ref="C197:C203" si="7">C126</f>
        <v>Apr-2022 to Sep-2022</v>
      </c>
      <c r="D197" s="423">
        <f>(Z7/Z6-1)*100</f>
        <v>9.7679285087657775</v>
      </c>
      <c r="E197" s="423">
        <f t="shared" ref="D197:G204" si="8">(AA7/AA6-1)*100</f>
        <v>-8.2360849340965547</v>
      </c>
      <c r="F197" s="423">
        <f t="shared" si="8"/>
        <v>-1.0707425190708664</v>
      </c>
      <c r="G197" s="423">
        <f t="shared" si="8"/>
        <v>-12.670811312134722</v>
      </c>
      <c r="H197" s="420">
        <v>-1</v>
      </c>
    </row>
    <row r="198" spans="3:8" x14ac:dyDescent="0.25">
      <c r="C198" s="421" t="str">
        <f t="shared" si="7"/>
        <v>Oct-2022 to Mar-2023</v>
      </c>
      <c r="D198" s="423">
        <f t="shared" si="8"/>
        <v>2.5586040426782919</v>
      </c>
      <c r="E198" s="423">
        <f t="shared" si="8"/>
        <v>13.143663928271398</v>
      </c>
      <c r="F198" s="423">
        <f t="shared" si="8"/>
        <v>2.9254646683275043</v>
      </c>
      <c r="G198" s="423">
        <f t="shared" si="8"/>
        <v>-15.18861323869235</v>
      </c>
      <c r="H198" s="420">
        <v>-3</v>
      </c>
    </row>
    <row r="199" spans="3:8" x14ac:dyDescent="0.25">
      <c r="C199" s="421" t="str">
        <f t="shared" si="7"/>
        <v>Apr-2023 to Sep-2023</v>
      </c>
      <c r="D199" s="423">
        <f t="shared" si="8"/>
        <v>6.3346187022395473</v>
      </c>
      <c r="E199" s="423">
        <f t="shared" si="8"/>
        <v>-8.8156256200118914</v>
      </c>
      <c r="F199" s="423">
        <f t="shared" si="8"/>
        <v>-3.6042813223383874</v>
      </c>
      <c r="G199" s="423">
        <f t="shared" si="8"/>
        <v>10.686246223013661</v>
      </c>
      <c r="H199" s="420">
        <v>6</v>
      </c>
    </row>
    <row r="200" spans="3:8" x14ac:dyDescent="0.25">
      <c r="C200" s="421" t="str">
        <f t="shared" si="7"/>
        <v>Oct-2023 to Mar-2024</v>
      </c>
      <c r="D200" s="423">
        <f t="shared" si="8"/>
        <v>8.6242685229042984</v>
      </c>
      <c r="E200" s="423">
        <f t="shared" si="8"/>
        <v>20.031690471960072</v>
      </c>
      <c r="F200" s="423">
        <f t="shared" si="8"/>
        <v>23.610280876079681</v>
      </c>
      <c r="G200" s="423">
        <f t="shared" si="8"/>
        <v>6.5713969149878482</v>
      </c>
      <c r="H200" s="420">
        <v>9</v>
      </c>
    </row>
    <row r="201" spans="3:8" x14ac:dyDescent="0.25">
      <c r="C201" s="421" t="str">
        <f t="shared" si="7"/>
        <v>Apr-2024 to Sep-2024</v>
      </c>
      <c r="D201" s="423">
        <f t="shared" si="8"/>
        <v>9.401044122062352</v>
      </c>
      <c r="E201" s="423">
        <f t="shared" si="8"/>
        <v>-1.5590946440385833</v>
      </c>
      <c r="F201" s="423">
        <f t="shared" si="8"/>
        <v>-1.9840502338790644</v>
      </c>
      <c r="G201" s="423">
        <f t="shared" si="8"/>
        <v>8.462724579626645</v>
      </c>
      <c r="H201" s="420">
        <v>8</v>
      </c>
    </row>
    <row r="202" spans="3:8" x14ac:dyDescent="0.25">
      <c r="C202" s="421" t="str">
        <f t="shared" si="7"/>
        <v>Oct--2024 to Mar-2025</v>
      </c>
      <c r="D202" s="423">
        <f t="shared" si="8"/>
        <v>8.0205307659024108</v>
      </c>
      <c r="E202" s="423">
        <f t="shared" si="8"/>
        <v>13.944439900852657</v>
      </c>
      <c r="F202" s="423">
        <f t="shared" si="8"/>
        <v>13.173145167497836</v>
      </c>
      <c r="G202" s="423">
        <f t="shared" si="8"/>
        <v>-3.167286413380388</v>
      </c>
      <c r="H202" s="420">
        <v>8</v>
      </c>
    </row>
    <row r="203" spans="3:8" x14ac:dyDescent="0.25">
      <c r="C203" s="421" t="str">
        <f t="shared" si="7"/>
        <v>Apr-2025 to Sep-2025</v>
      </c>
      <c r="D203" s="423">
        <f t="shared" si="8"/>
        <v>7.274578452174052</v>
      </c>
      <c r="E203" s="423">
        <f t="shared" si="8"/>
        <v>-3.034096403296449</v>
      </c>
      <c r="F203" s="423">
        <f t="shared" si="8"/>
        <v>-9.2869401867418322</v>
      </c>
      <c r="G203" s="423">
        <f t="shared" si="8"/>
        <v>0.31975633900678258</v>
      </c>
    </row>
    <row r="204" spans="3:8" x14ac:dyDescent="0.25">
      <c r="C204" s="421" t="str">
        <f>C133</f>
        <v>Oct-2025 to Mar-2026(P)</v>
      </c>
      <c r="D204" s="423">
        <f t="shared" si="8"/>
        <v>7.1746734815032909</v>
      </c>
      <c r="E204" s="423">
        <f t="shared" si="8"/>
        <v>9.0645469668328982</v>
      </c>
      <c r="F204" s="423">
        <f t="shared" si="8"/>
        <v>24.381146288024169</v>
      </c>
      <c r="G204" s="423">
        <f t="shared" si="8"/>
        <v>0.31605537710814868</v>
      </c>
    </row>
    <row r="205" spans="3:8" x14ac:dyDescent="0.25">
      <c r="C205" s="421"/>
      <c r="D205" s="423"/>
      <c r="E205" s="423"/>
      <c r="F205" s="423"/>
      <c r="G205" s="423"/>
    </row>
    <row r="206" spans="3:8" x14ac:dyDescent="0.25">
      <c r="C206" s="421"/>
      <c r="D206" s="423"/>
      <c r="E206" s="423"/>
      <c r="F206" s="423"/>
      <c r="G206" s="423"/>
    </row>
  </sheetData>
  <mergeCells count="29">
    <mergeCell ref="H8:I8"/>
    <mergeCell ref="C73:I73"/>
    <mergeCell ref="C3:I3"/>
    <mergeCell ref="H4:I4"/>
    <mergeCell ref="H5:I5"/>
    <mergeCell ref="H6:I6"/>
    <mergeCell ref="H7:I7"/>
    <mergeCell ref="H14:I14"/>
    <mergeCell ref="C15:I15"/>
    <mergeCell ref="C16:I16"/>
    <mergeCell ref="C66:I66"/>
    <mergeCell ref="C74:I74"/>
    <mergeCell ref="H9:I9"/>
    <mergeCell ref="H10:I10"/>
    <mergeCell ref="H11:I11"/>
    <mergeCell ref="H12:I12"/>
    <mergeCell ref="H13:I13"/>
    <mergeCell ref="B76:B90"/>
    <mergeCell ref="C160:H160"/>
    <mergeCell ref="C167:H167"/>
    <mergeCell ref="C168:H168"/>
    <mergeCell ref="C188:I188"/>
    <mergeCell ref="C134:H134"/>
    <mergeCell ref="C135:H135"/>
    <mergeCell ref="C137:I137"/>
    <mergeCell ref="C145:H145"/>
    <mergeCell ref="C155:H155"/>
    <mergeCell ref="C156:H156"/>
    <mergeCell ref="C122:H122"/>
  </mergeCells>
  <pageMargins left="0.70866141732283472" right="0.70866141732283472" top="0.74803149606299213" bottom="0.74803149606299213" header="0.31496062992125984" footer="0.31496062992125984"/>
  <pageSetup paperSize="9" scale="52" orientation="portrait" horizontalDpi="300" verticalDpi="300" r:id="rId1"/>
  <rowBreaks count="2" manualBreakCount="2">
    <brk id="94" min="2" max="8" man="1"/>
    <brk id="95" min="1" max="9" man="1"/>
  </rowBreaks>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79FA28-4B44-4F03-A470-D94BD6B052E8}">
  <sheetPr>
    <tabColor theme="0"/>
    <pageSetUpPr fitToPage="1"/>
  </sheetPr>
  <dimension ref="A1:V64"/>
  <sheetViews>
    <sheetView showGridLines="0" view="pageLayout" topLeftCell="B1" zoomScale="36" zoomScaleNormal="70" zoomScaleSheetLayoutView="40" zoomScalePageLayoutView="36" workbookViewId="0">
      <selection activeCell="B81" sqref="B81"/>
    </sheetView>
  </sheetViews>
  <sheetFormatPr defaultRowHeight="15" x14ac:dyDescent="0.25"/>
  <cols>
    <col min="1" max="1" width="3.7109375" hidden="1" customWidth="1"/>
    <col min="2" max="2" width="2.5703125" customWidth="1"/>
    <col min="3" max="3" width="7.28515625" customWidth="1"/>
    <col min="4" max="4" width="4.140625" customWidth="1"/>
    <col min="5" max="5" width="5.7109375" customWidth="1"/>
    <col min="6" max="6" width="14" bestFit="1" customWidth="1"/>
    <col min="10" max="10" width="20.28515625" customWidth="1"/>
    <col min="12" max="12" width="14.42578125" bestFit="1" customWidth="1"/>
    <col min="13" max="13" width="26.5703125" customWidth="1"/>
    <col min="14" max="14" width="70.28515625" customWidth="1"/>
    <col min="15" max="15" width="4.140625" customWidth="1"/>
    <col min="16" max="16" width="44.28515625" customWidth="1"/>
    <col min="17" max="17" width="106.5703125" customWidth="1"/>
    <col min="18" max="18" width="9.140625" customWidth="1"/>
    <col min="20" max="20" width="14.42578125" bestFit="1" customWidth="1"/>
    <col min="21" max="21" width="43.7109375" bestFit="1" customWidth="1"/>
  </cols>
  <sheetData>
    <row r="1" spans="1:22" ht="66" customHeight="1" x14ac:dyDescent="0.25">
      <c r="B1" s="512"/>
      <c r="C1" s="3099" t="s">
        <v>2538</v>
      </c>
      <c r="D1" s="3099"/>
      <c r="E1" s="3099"/>
      <c r="F1" s="3099"/>
      <c r="G1" s="3099"/>
      <c r="H1" s="3099"/>
      <c r="I1" s="3099"/>
      <c r="J1" s="3099"/>
      <c r="K1" s="3099"/>
      <c r="L1" s="3099"/>
      <c r="M1" s="3099"/>
      <c r="N1" s="3099"/>
      <c r="O1" s="513"/>
    </row>
    <row r="2" spans="1:22" x14ac:dyDescent="0.25">
      <c r="B2" s="110"/>
      <c r="O2" s="111"/>
    </row>
    <row r="3" spans="1:22" x14ac:dyDescent="0.25">
      <c r="B3" s="110"/>
      <c r="O3" s="111"/>
    </row>
    <row r="4" spans="1:22" x14ac:dyDescent="0.25">
      <c r="A4" s="95"/>
      <c r="B4" s="817"/>
      <c r="O4" s="111"/>
    </row>
    <row r="5" spans="1:22" x14ac:dyDescent="0.25">
      <c r="A5" s="221"/>
      <c r="B5" s="818"/>
      <c r="O5" s="111"/>
    </row>
    <row r="6" spans="1:22" x14ac:dyDescent="0.25">
      <c r="A6" s="222"/>
      <c r="B6" s="819"/>
      <c r="O6" s="111"/>
    </row>
    <row r="7" spans="1:22" x14ac:dyDescent="0.25">
      <c r="A7" s="222"/>
      <c r="B7" s="819"/>
      <c r="O7" s="111"/>
    </row>
    <row r="8" spans="1:22" x14ac:dyDescent="0.25">
      <c r="A8" s="222"/>
      <c r="B8" s="819"/>
      <c r="O8" s="111"/>
    </row>
    <row r="9" spans="1:22" x14ac:dyDescent="0.25">
      <c r="A9" s="222"/>
      <c r="B9" s="819"/>
      <c r="O9" s="111"/>
    </row>
    <row r="10" spans="1:22" ht="21" x14ac:dyDescent="0.35">
      <c r="A10" s="222"/>
      <c r="B10" s="819"/>
      <c r="O10" s="111"/>
      <c r="T10" s="1312"/>
      <c r="U10" s="1313" t="s">
        <v>2561</v>
      </c>
      <c r="V10" s="95"/>
    </row>
    <row r="11" spans="1:22" ht="21" x14ac:dyDescent="0.25">
      <c r="A11" s="222"/>
      <c r="B11" s="819"/>
      <c r="O11" s="111"/>
      <c r="T11" s="1314" t="s">
        <v>977</v>
      </c>
      <c r="U11" s="1314" t="s">
        <v>978</v>
      </c>
      <c r="V11" s="221"/>
    </row>
    <row r="12" spans="1:22" ht="21" x14ac:dyDescent="0.25">
      <c r="A12" s="222"/>
      <c r="B12" s="819"/>
      <c r="O12" s="111"/>
      <c r="T12" s="1315" t="s">
        <v>979</v>
      </c>
      <c r="U12" s="1316">
        <v>7959.9100653652968</v>
      </c>
      <c r="V12" s="222"/>
    </row>
    <row r="13" spans="1:22" ht="105" x14ac:dyDescent="0.25">
      <c r="A13" s="222"/>
      <c r="B13" s="819"/>
      <c r="O13" s="111"/>
      <c r="T13" s="1315" t="s">
        <v>980</v>
      </c>
      <c r="U13" s="1316">
        <v>16516.295082795041</v>
      </c>
      <c r="V13" s="222"/>
    </row>
    <row r="14" spans="1:22" ht="41.25" customHeight="1" x14ac:dyDescent="0.25">
      <c r="A14" s="222"/>
      <c r="B14" s="819"/>
      <c r="O14" s="111"/>
      <c r="T14" s="1315" t="s">
        <v>981</v>
      </c>
      <c r="U14" s="1316">
        <v>5525.9984726777911</v>
      </c>
      <c r="V14" s="222"/>
    </row>
    <row r="15" spans="1:22" ht="76.5" customHeight="1" x14ac:dyDescent="0.25">
      <c r="A15" s="222"/>
      <c r="B15" s="1464" t="s">
        <v>2517</v>
      </c>
      <c r="O15" s="111"/>
      <c r="T15" s="1315" t="s">
        <v>982</v>
      </c>
      <c r="U15" s="1316">
        <v>1830.5665483769994</v>
      </c>
      <c r="V15" s="222"/>
    </row>
    <row r="16" spans="1:22" ht="72" customHeight="1" x14ac:dyDescent="0.25">
      <c r="A16" s="222"/>
      <c r="B16" s="819"/>
      <c r="O16" s="111"/>
      <c r="T16" s="1315" t="s">
        <v>2282</v>
      </c>
      <c r="U16" s="1316">
        <v>132.35769500000001</v>
      </c>
      <c r="V16" s="222"/>
    </row>
    <row r="17" spans="1:22" ht="21" x14ac:dyDescent="0.25">
      <c r="A17" s="222"/>
      <c r="B17" s="819"/>
      <c r="O17" s="111"/>
      <c r="T17" s="1315" t="s">
        <v>983</v>
      </c>
      <c r="U17" s="1316">
        <v>780.72581240833824</v>
      </c>
      <c r="V17" s="222"/>
    </row>
    <row r="18" spans="1:22" ht="42" x14ac:dyDescent="0.25">
      <c r="A18" s="96"/>
      <c r="B18" s="820"/>
      <c r="O18" s="111"/>
      <c r="T18" s="1315" t="s">
        <v>984</v>
      </c>
      <c r="U18" s="1316">
        <v>1601.6448881220219</v>
      </c>
      <c r="V18" s="222"/>
    </row>
    <row r="19" spans="1:22" ht="42" x14ac:dyDescent="0.25">
      <c r="B19" s="110"/>
      <c r="O19" s="111"/>
      <c r="T19" s="1315" t="s">
        <v>985</v>
      </c>
      <c r="U19" s="1316">
        <v>9715.9340052313019</v>
      </c>
      <c r="V19" s="222"/>
    </row>
    <row r="20" spans="1:22" ht="21" x14ac:dyDescent="0.25">
      <c r="B20" s="110"/>
      <c r="O20" s="111"/>
      <c r="T20" s="1315" t="s">
        <v>986</v>
      </c>
      <c r="U20" s="1316">
        <v>19648.741706841491</v>
      </c>
      <c r="V20" s="222"/>
    </row>
    <row r="21" spans="1:22" ht="42" x14ac:dyDescent="0.25">
      <c r="B21" s="110"/>
      <c r="O21" s="111"/>
      <c r="T21" s="1315" t="s">
        <v>987</v>
      </c>
      <c r="U21" s="1316">
        <v>3899.0861501389745</v>
      </c>
      <c r="V21" s="222"/>
    </row>
    <row r="22" spans="1:22" ht="42" x14ac:dyDescent="0.25">
      <c r="B22" s="110"/>
      <c r="O22" s="111"/>
      <c r="T22" s="1315" t="s">
        <v>988</v>
      </c>
      <c r="U22" s="1316">
        <v>760.84194812700002</v>
      </c>
      <c r="V22" s="222"/>
    </row>
    <row r="23" spans="1:22" ht="42" x14ac:dyDescent="0.25">
      <c r="B23" s="110"/>
      <c r="O23" s="111"/>
      <c r="T23" s="1315" t="s">
        <v>989</v>
      </c>
      <c r="U23" s="1316">
        <v>675.7061373719838</v>
      </c>
      <c r="V23" s="222"/>
    </row>
    <row r="24" spans="1:22" ht="21" x14ac:dyDescent="0.35">
      <c r="B24" s="110"/>
      <c r="O24" s="111"/>
      <c r="T24" s="1312"/>
      <c r="U24" s="1317">
        <f>SUM(U12:U23)</f>
        <v>69047.808512456235</v>
      </c>
      <c r="V24" s="96"/>
    </row>
    <row r="25" spans="1:22" ht="89.25" hidden="1" x14ac:dyDescent="0.35">
      <c r="A25" s="815"/>
      <c r="B25" s="821"/>
      <c r="C25" s="92" t="s">
        <v>951</v>
      </c>
      <c r="D25" s="92" t="s">
        <v>952</v>
      </c>
      <c r="E25" s="92" t="s">
        <v>953</v>
      </c>
      <c r="F25" s="92" t="s">
        <v>954</v>
      </c>
      <c r="O25" s="111"/>
      <c r="T25" s="1312"/>
      <c r="U25" s="1312"/>
    </row>
    <row r="26" spans="1:22" ht="21" hidden="1" x14ac:dyDescent="0.35">
      <c r="A26" s="816"/>
      <c r="B26" s="822"/>
      <c r="C26" s="94">
        <v>959.38770440444875</v>
      </c>
      <c r="D26" s="94">
        <v>212.95627237899834</v>
      </c>
      <c r="E26" s="94">
        <v>5124.1943304376009</v>
      </c>
      <c r="F26" s="94">
        <v>11859.253952822335</v>
      </c>
      <c r="I26" s="3100" t="s">
        <v>990</v>
      </c>
      <c r="J26" s="3100"/>
      <c r="K26" s="3100"/>
      <c r="L26" s="3100"/>
      <c r="O26" s="111"/>
      <c r="T26" s="1312"/>
      <c r="U26" s="1312"/>
    </row>
    <row r="27" spans="1:22" ht="21" hidden="1" x14ac:dyDescent="0.35">
      <c r="A27" s="816"/>
      <c r="B27" s="822"/>
      <c r="C27" s="94">
        <v>999.90668254902164</v>
      </c>
      <c r="D27" s="94">
        <v>248.51430066904521</v>
      </c>
      <c r="E27" s="94">
        <v>4086.3055549463206</v>
      </c>
      <c r="F27" s="94">
        <v>12335.609179066209</v>
      </c>
      <c r="I27" s="3100"/>
      <c r="J27" s="3100"/>
      <c r="K27" s="3100"/>
      <c r="L27" s="3100"/>
      <c r="O27" s="111"/>
      <c r="T27" s="1312"/>
      <c r="U27" s="1312">
        <f>10938/68763*100</f>
        <v>15.906810348588628</v>
      </c>
    </row>
    <row r="28" spans="1:22" ht="21" hidden="1" x14ac:dyDescent="0.35">
      <c r="B28" s="110"/>
      <c r="I28" s="3100"/>
      <c r="J28" s="3100"/>
      <c r="K28" s="3100"/>
      <c r="L28" s="3100"/>
      <c r="O28" s="111"/>
      <c r="T28" s="1312"/>
      <c r="U28" s="1312"/>
    </row>
    <row r="29" spans="1:22" ht="21" hidden="1" x14ac:dyDescent="0.35">
      <c r="B29" s="110"/>
      <c r="I29" s="3100"/>
      <c r="J29" s="3100"/>
      <c r="K29" s="3100"/>
      <c r="L29" s="3100"/>
      <c r="O29" s="111"/>
      <c r="T29" s="1312"/>
      <c r="U29" s="1312"/>
    </row>
    <row r="30" spans="1:22" ht="21" hidden="1" x14ac:dyDescent="0.35">
      <c r="B30" s="110"/>
      <c r="I30" s="3100"/>
      <c r="J30" s="3100"/>
      <c r="K30" s="3100"/>
      <c r="L30" s="3100"/>
      <c r="O30" s="111"/>
      <c r="T30" s="1312"/>
      <c r="U30" s="1312"/>
    </row>
    <row r="31" spans="1:22" ht="21" hidden="1" x14ac:dyDescent="0.35">
      <c r="B31" s="110"/>
      <c r="I31" s="3100"/>
      <c r="J31" s="3100"/>
      <c r="K31" s="3100"/>
      <c r="L31" s="3100"/>
      <c r="O31" s="111"/>
      <c r="T31" s="1312"/>
      <c r="U31" s="1312"/>
    </row>
    <row r="32" spans="1:22" ht="21" hidden="1" x14ac:dyDescent="0.35">
      <c r="B32" s="110"/>
      <c r="I32" s="3100"/>
      <c r="J32" s="3100"/>
      <c r="K32" s="3100"/>
      <c r="L32" s="3100"/>
      <c r="O32" s="111"/>
      <c r="T32" s="1312"/>
      <c r="U32" s="1312"/>
    </row>
    <row r="33" spans="2:21" ht="21" x14ac:dyDescent="0.35">
      <c r="B33" s="110"/>
      <c r="O33" s="111"/>
      <c r="T33" s="1312"/>
      <c r="U33" s="1312"/>
    </row>
    <row r="34" spans="2:21" x14ac:dyDescent="0.25">
      <c r="B34" s="110"/>
      <c r="O34" s="111"/>
    </row>
    <row r="35" spans="2:21" x14ac:dyDescent="0.25">
      <c r="B35" s="110"/>
      <c r="O35" s="111"/>
      <c r="U35">
        <f>+U12/U24*100</f>
        <v>11.528113979069051</v>
      </c>
    </row>
    <row r="36" spans="2:21" x14ac:dyDescent="0.25">
      <c r="B36" s="110"/>
      <c r="O36" s="111"/>
    </row>
    <row r="37" spans="2:21" x14ac:dyDescent="0.25">
      <c r="B37" s="110"/>
      <c r="O37" s="111"/>
    </row>
    <row r="38" spans="2:21" x14ac:dyDescent="0.25">
      <c r="B38" s="110"/>
      <c r="O38" s="111"/>
    </row>
    <row r="39" spans="2:21" x14ac:dyDescent="0.25">
      <c r="B39" s="110"/>
      <c r="O39" s="111"/>
    </row>
    <row r="40" spans="2:21" x14ac:dyDescent="0.25">
      <c r="B40" s="110"/>
      <c r="O40" s="111"/>
    </row>
    <row r="41" spans="2:21" x14ac:dyDescent="0.25">
      <c r="B41" s="110"/>
      <c r="O41" s="111"/>
    </row>
    <row r="42" spans="2:21" x14ac:dyDescent="0.25">
      <c r="B42" s="110"/>
      <c r="O42" s="111"/>
    </row>
    <row r="43" spans="2:21" x14ac:dyDescent="0.25">
      <c r="B43" s="110"/>
      <c r="O43" s="111"/>
    </row>
    <row r="44" spans="2:21" x14ac:dyDescent="0.25">
      <c r="B44" s="110"/>
      <c r="O44" s="111"/>
    </row>
    <row r="45" spans="2:21" x14ac:dyDescent="0.25">
      <c r="B45" s="110"/>
      <c r="O45" s="111"/>
    </row>
    <row r="46" spans="2:21" x14ac:dyDescent="0.25">
      <c r="B46" s="110"/>
      <c r="O46" s="111"/>
    </row>
    <row r="47" spans="2:21" x14ac:dyDescent="0.25">
      <c r="B47" s="110"/>
      <c r="O47" s="111"/>
    </row>
    <row r="48" spans="2:21" ht="15.75" thickBot="1" x14ac:dyDescent="0.3">
      <c r="B48" s="99"/>
      <c r="C48" s="100"/>
      <c r="D48" s="100"/>
      <c r="E48" s="100"/>
      <c r="F48" s="100"/>
      <c r="G48" s="100"/>
      <c r="H48" s="100"/>
      <c r="I48" s="100"/>
      <c r="J48" s="100"/>
      <c r="K48" s="100"/>
      <c r="L48" s="100"/>
      <c r="M48" s="100"/>
      <c r="N48" s="100"/>
      <c r="O48" s="516"/>
    </row>
    <row r="53" spans="12:13" ht="15.75" hidden="1" thickBot="1" x14ac:dyDescent="0.3">
      <c r="L53" s="97" t="s">
        <v>979</v>
      </c>
      <c r="M53" s="98">
        <v>9082</v>
      </c>
    </row>
    <row r="54" spans="12:13" ht="54.75" hidden="1" thickBot="1" x14ac:dyDescent="0.3">
      <c r="L54" s="97" t="s">
        <v>980</v>
      </c>
      <c r="M54" s="98">
        <v>13491</v>
      </c>
    </row>
    <row r="55" spans="12:13" ht="15.75" hidden="1" thickBot="1" x14ac:dyDescent="0.3">
      <c r="L55" s="97" t="s">
        <v>981</v>
      </c>
      <c r="M55" s="98">
        <v>5837</v>
      </c>
    </row>
    <row r="56" spans="12:13" ht="41.25" hidden="1" thickBot="1" x14ac:dyDescent="0.3">
      <c r="L56" s="97" t="s">
        <v>982</v>
      </c>
      <c r="M56" s="98">
        <v>1924</v>
      </c>
    </row>
    <row r="57" spans="12:13" ht="41.25" hidden="1" thickBot="1" x14ac:dyDescent="0.3">
      <c r="L57" s="97" t="s">
        <v>991</v>
      </c>
      <c r="M57" s="98">
        <v>142</v>
      </c>
    </row>
    <row r="58" spans="12:13" ht="15.75" hidden="1" thickBot="1" x14ac:dyDescent="0.3">
      <c r="L58" s="97" t="s">
        <v>983</v>
      </c>
      <c r="M58" s="98">
        <v>1046</v>
      </c>
    </row>
    <row r="59" spans="12:13" ht="15.75" hidden="1" thickBot="1" x14ac:dyDescent="0.3">
      <c r="L59" s="97" t="s">
        <v>984</v>
      </c>
      <c r="M59" s="98">
        <v>412</v>
      </c>
    </row>
    <row r="60" spans="12:13" ht="15.75" hidden="1" thickBot="1" x14ac:dyDescent="0.3">
      <c r="L60" s="97" t="s">
        <v>985</v>
      </c>
      <c r="M60" s="98">
        <v>10938</v>
      </c>
    </row>
    <row r="61" spans="12:13" ht="15.75" hidden="1" thickBot="1" x14ac:dyDescent="0.3">
      <c r="L61" s="97" t="s">
        <v>986</v>
      </c>
      <c r="M61" s="98">
        <v>21046</v>
      </c>
    </row>
    <row r="62" spans="12:13" ht="15.75" hidden="1" thickBot="1" x14ac:dyDescent="0.3">
      <c r="L62" s="97" t="s">
        <v>987</v>
      </c>
      <c r="M62" s="98">
        <v>2667</v>
      </c>
    </row>
    <row r="63" spans="12:13" ht="15.75" hidden="1" thickBot="1" x14ac:dyDescent="0.3">
      <c r="L63" s="97" t="s">
        <v>988</v>
      </c>
      <c r="M63" s="98">
        <v>1001</v>
      </c>
    </row>
    <row r="64" spans="12:13" ht="1.5" customHeight="1" thickBot="1" x14ac:dyDescent="0.3">
      <c r="L64" s="97" t="s">
        <v>989</v>
      </c>
      <c r="M64" s="98">
        <v>1177</v>
      </c>
    </row>
  </sheetData>
  <mergeCells count="2">
    <mergeCell ref="C1:N1"/>
    <mergeCell ref="I26:L32"/>
  </mergeCells>
  <pageMargins left="0.70866141732283472" right="0.70866141732283472" top="0.74803149606299213" bottom="0.74803149606299213" header="0.31496062992125984" footer="0.31496062992125984"/>
  <pageSetup paperSize="9" scale="20"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B120F5-E998-4BDE-8EC9-942396482B0E}">
  <sheetPr>
    <tabColor theme="0"/>
    <pageSetUpPr fitToPage="1"/>
  </sheetPr>
  <dimension ref="A2:J35"/>
  <sheetViews>
    <sheetView view="pageBreakPreview" topLeftCell="A21" zoomScale="85" zoomScaleNormal="85" zoomScaleSheetLayoutView="85" workbookViewId="0">
      <selection activeCell="B81" sqref="B81"/>
    </sheetView>
  </sheetViews>
  <sheetFormatPr defaultRowHeight="15" x14ac:dyDescent="0.25"/>
  <cols>
    <col min="1" max="1" width="43.5703125" style="1634" bestFit="1" customWidth="1"/>
    <col min="2" max="2" width="10.28515625" style="1634" customWidth="1"/>
    <col min="3" max="3" width="11.28515625" style="1634" bestFit="1" customWidth="1"/>
    <col min="4" max="4" width="12.28515625" style="1634" bestFit="1" customWidth="1"/>
    <col min="5" max="5" width="10" style="1634" bestFit="1" customWidth="1"/>
    <col min="6" max="6" width="12.28515625" style="1634" bestFit="1" customWidth="1"/>
    <col min="7" max="7" width="10.42578125" style="1634" customWidth="1"/>
    <col min="8" max="8" width="12.28515625" style="1634" bestFit="1" customWidth="1"/>
    <col min="9" max="9" width="11.28515625" style="1634" bestFit="1" customWidth="1"/>
    <col min="10" max="10" width="12.28515625" style="1634" bestFit="1" customWidth="1"/>
    <col min="11" max="11" width="9.140625" style="1634"/>
    <col min="12" max="12" width="12.140625" style="1634" bestFit="1" customWidth="1"/>
    <col min="13" max="13" width="9.140625" style="1634"/>
    <col min="14" max="14" width="12.140625" style="1634" bestFit="1" customWidth="1"/>
    <col min="15" max="15" width="9.140625" style="1634"/>
    <col min="16" max="16" width="12.140625" style="1634" bestFit="1" customWidth="1"/>
    <col min="17" max="17" width="9.140625" style="1634"/>
    <col min="18" max="18" width="12.140625" style="1634" bestFit="1" customWidth="1"/>
    <col min="19" max="19" width="9.140625" style="1634"/>
    <col min="20" max="20" width="12.140625" style="1634" bestFit="1" customWidth="1"/>
    <col min="21" max="21" width="9.140625" style="1634"/>
    <col min="22" max="22" width="12.140625" style="1634" bestFit="1" customWidth="1"/>
    <col min="23" max="23" width="9.140625" style="1634"/>
    <col min="24" max="24" width="12.140625" style="1634" bestFit="1" customWidth="1"/>
    <col min="25" max="25" width="9.140625" style="1634"/>
    <col min="26" max="26" width="12.140625" style="1634" bestFit="1" customWidth="1"/>
    <col min="27" max="27" width="10.7109375" style="1634" customWidth="1"/>
    <col min="28" max="28" width="12.140625" style="1634" customWidth="1"/>
    <col min="29" max="16384" width="9.140625" style="1634"/>
  </cols>
  <sheetData>
    <row r="2" spans="1:10" ht="21" x14ac:dyDescent="0.25">
      <c r="A2" s="3101" t="s">
        <v>2968</v>
      </c>
      <c r="B2" s="3101"/>
      <c r="C2" s="3101"/>
      <c r="D2" s="3101"/>
      <c r="E2" s="3101"/>
      <c r="F2" s="3101"/>
      <c r="G2" s="3101"/>
      <c r="H2" s="3101"/>
      <c r="I2" s="3101"/>
      <c r="J2" s="3101"/>
    </row>
    <row r="3" spans="1:10" ht="47.25" x14ac:dyDescent="0.25">
      <c r="A3" s="2316" t="s">
        <v>217</v>
      </c>
      <c r="B3" s="2317" t="s">
        <v>986</v>
      </c>
      <c r="C3" s="2317" t="s">
        <v>2141</v>
      </c>
      <c r="D3" s="2317" t="s">
        <v>979</v>
      </c>
      <c r="E3" s="2317" t="s">
        <v>981</v>
      </c>
      <c r="F3" s="2317" t="s">
        <v>2967</v>
      </c>
      <c r="G3" s="2317" t="s">
        <v>2966</v>
      </c>
      <c r="H3" s="2317" t="s">
        <v>2965</v>
      </c>
      <c r="I3" s="2317" t="s">
        <v>2964</v>
      </c>
      <c r="J3" s="2317" t="s">
        <v>133</v>
      </c>
    </row>
    <row r="4" spans="1:10" ht="15.75" x14ac:dyDescent="0.25">
      <c r="A4" s="2318" t="s">
        <v>1552</v>
      </c>
      <c r="B4" s="2319">
        <v>7.7</v>
      </c>
      <c r="C4" s="2319">
        <v>109</v>
      </c>
      <c r="D4" s="2319">
        <v>184.1</v>
      </c>
      <c r="E4" s="2319">
        <v>0</v>
      </c>
      <c r="F4" s="2319">
        <v>0</v>
      </c>
      <c r="G4" s="2319">
        <v>0</v>
      </c>
      <c r="H4" s="2319">
        <v>0</v>
      </c>
      <c r="I4" s="2319">
        <v>1447.5</v>
      </c>
      <c r="J4" s="2319">
        <v>1748.3</v>
      </c>
    </row>
    <row r="5" spans="1:10" ht="15.75" x14ac:dyDescent="0.25">
      <c r="A5" s="2318" t="s">
        <v>1553</v>
      </c>
      <c r="B5" s="2319">
        <v>4.7</v>
      </c>
      <c r="C5" s="2319">
        <v>0.6</v>
      </c>
      <c r="D5" s="2319">
        <v>14.3</v>
      </c>
      <c r="E5" s="2319">
        <v>5.8</v>
      </c>
      <c r="F5" s="2319">
        <v>8.6999999999999993</v>
      </c>
      <c r="G5" s="2319">
        <v>0</v>
      </c>
      <c r="H5" s="2319">
        <v>0</v>
      </c>
      <c r="I5" s="2319">
        <v>1.9</v>
      </c>
      <c r="J5" s="2319">
        <v>36.1</v>
      </c>
    </row>
    <row r="6" spans="1:10" ht="15.75" x14ac:dyDescent="0.25">
      <c r="A6" s="2318" t="s">
        <v>1554</v>
      </c>
      <c r="B6" s="2319">
        <v>317.60000000000002</v>
      </c>
      <c r="C6" s="2319">
        <v>190.6</v>
      </c>
      <c r="D6" s="2319">
        <v>879.6</v>
      </c>
      <c r="E6" s="2319">
        <v>431.2</v>
      </c>
      <c r="F6" s="2319">
        <v>658.4</v>
      </c>
      <c r="G6" s="2319">
        <v>0</v>
      </c>
      <c r="H6" s="2319">
        <v>22</v>
      </c>
      <c r="I6" s="2319">
        <v>211.3</v>
      </c>
      <c r="J6" s="2319">
        <v>2710.8</v>
      </c>
    </row>
    <row r="7" spans="1:10" ht="15.75" x14ac:dyDescent="0.25">
      <c r="A7" s="2320" t="s">
        <v>1555</v>
      </c>
      <c r="B7" s="2321">
        <v>720.90708878834653</v>
      </c>
      <c r="C7" s="2321">
        <v>204.28163032831446</v>
      </c>
      <c r="D7" s="2321">
        <v>0</v>
      </c>
      <c r="E7" s="2321">
        <v>251.36088098263113</v>
      </c>
      <c r="F7" s="2321">
        <v>0</v>
      </c>
      <c r="G7" s="2321">
        <v>0</v>
      </c>
      <c r="H7" s="2321">
        <v>0</v>
      </c>
      <c r="I7" s="2321">
        <v>0</v>
      </c>
      <c r="J7" s="2321">
        <v>1176.5496000992921</v>
      </c>
    </row>
    <row r="8" spans="1:10" ht="15.75" x14ac:dyDescent="0.25">
      <c r="A8" s="2320" t="s">
        <v>1719</v>
      </c>
      <c r="B8" s="2321">
        <v>0</v>
      </c>
      <c r="C8" s="2321">
        <v>8.7951148550221898</v>
      </c>
      <c r="D8" s="2321">
        <v>0</v>
      </c>
      <c r="E8" s="2321">
        <v>0</v>
      </c>
      <c r="F8" s="2321">
        <v>0</v>
      </c>
      <c r="G8" s="2321">
        <v>0</v>
      </c>
      <c r="H8" s="2321">
        <v>0</v>
      </c>
      <c r="I8" s="2321">
        <v>0</v>
      </c>
      <c r="J8" s="2321">
        <v>8.7951148550221898</v>
      </c>
    </row>
    <row r="9" spans="1:10" ht="15.75" x14ac:dyDescent="0.25">
      <c r="A9" s="2320" t="s">
        <v>2626</v>
      </c>
      <c r="B9" s="2321">
        <v>0</v>
      </c>
      <c r="C9" s="2321">
        <v>55.794813535703945</v>
      </c>
      <c r="D9" s="2321">
        <v>0</v>
      </c>
      <c r="E9" s="2321">
        <v>0</v>
      </c>
      <c r="F9" s="2321">
        <v>0</v>
      </c>
      <c r="G9" s="2321">
        <v>0</v>
      </c>
      <c r="H9" s="2321">
        <v>0</v>
      </c>
      <c r="I9" s="2321">
        <v>0.246308</v>
      </c>
      <c r="J9" s="2321">
        <v>56.041121535703944</v>
      </c>
    </row>
    <row r="10" spans="1:10" ht="15.75" x14ac:dyDescent="0.25">
      <c r="A10" s="2320" t="s">
        <v>1556</v>
      </c>
      <c r="B10" s="2321">
        <v>0</v>
      </c>
      <c r="C10" s="2321">
        <v>1995.0114498487987</v>
      </c>
      <c r="D10" s="2321">
        <v>613.08564100000001</v>
      </c>
      <c r="E10" s="2321">
        <v>0</v>
      </c>
      <c r="F10" s="2321">
        <v>0</v>
      </c>
      <c r="G10" s="2321">
        <v>0</v>
      </c>
      <c r="H10" s="2321">
        <v>0</v>
      </c>
      <c r="I10" s="2321">
        <v>22.12669999489874</v>
      </c>
      <c r="J10" s="2321">
        <v>2630.2237908436978</v>
      </c>
    </row>
    <row r="11" spans="1:10" ht="15.75" x14ac:dyDescent="0.25">
      <c r="A11" s="2320" t="s">
        <v>1557</v>
      </c>
      <c r="B11" s="2321">
        <v>347.59506400000004</v>
      </c>
      <c r="C11" s="2321">
        <v>41.218201999999998</v>
      </c>
      <c r="D11" s="2321">
        <v>0</v>
      </c>
      <c r="E11" s="2321">
        <v>0</v>
      </c>
      <c r="F11" s="2321">
        <v>0</v>
      </c>
      <c r="G11" s="2321">
        <v>0</v>
      </c>
      <c r="H11" s="2321">
        <v>0</v>
      </c>
      <c r="I11" s="2321">
        <v>7.3529789999999995</v>
      </c>
      <c r="J11" s="2321">
        <v>396.16624500000006</v>
      </c>
    </row>
    <row r="12" spans="1:10" ht="15.75" x14ac:dyDescent="0.25">
      <c r="A12" s="2320" t="s">
        <v>1558</v>
      </c>
      <c r="B12" s="2321">
        <v>2617.09376390225</v>
      </c>
      <c r="C12" s="2321">
        <v>4496.9030641184736</v>
      </c>
      <c r="D12" s="2321">
        <v>1488.7307132021454</v>
      </c>
      <c r="E12" s="2321">
        <v>666.0061092586343</v>
      </c>
      <c r="F12" s="2321">
        <v>1273.3587507100613</v>
      </c>
      <c r="G12" s="2321">
        <v>0</v>
      </c>
      <c r="H12" s="2321">
        <v>6.1081896479999997</v>
      </c>
      <c r="I12" s="2321">
        <v>4842.7028307471282</v>
      </c>
      <c r="J12" s="2321">
        <v>15390.903421586692</v>
      </c>
    </row>
    <row r="13" spans="1:10" ht="15.75" x14ac:dyDescent="0.25">
      <c r="A13" s="2320" t="s">
        <v>1559</v>
      </c>
      <c r="B13" s="2321">
        <v>340.3850515199041</v>
      </c>
      <c r="C13" s="2321">
        <v>1339.0003661893356</v>
      </c>
      <c r="D13" s="2321">
        <v>54.944631155384378</v>
      </c>
      <c r="E13" s="2321">
        <v>1366.7246994810471</v>
      </c>
      <c r="F13" s="2321">
        <v>335.74694979522928</v>
      </c>
      <c r="G13" s="2321">
        <v>0</v>
      </c>
      <c r="H13" s="2321">
        <v>0</v>
      </c>
      <c r="I13" s="2321">
        <v>283.260475255063</v>
      </c>
      <c r="J13" s="2321">
        <v>3720.0621733959633</v>
      </c>
    </row>
    <row r="14" spans="1:10" ht="15.75" x14ac:dyDescent="0.25">
      <c r="A14" s="2320" t="s">
        <v>1560</v>
      </c>
      <c r="B14" s="2321">
        <v>0</v>
      </c>
      <c r="C14" s="2321">
        <v>1.9030080000000003</v>
      </c>
      <c r="D14" s="2321">
        <v>0</v>
      </c>
      <c r="E14" s="2321">
        <v>0</v>
      </c>
      <c r="F14" s="2321">
        <v>0</v>
      </c>
      <c r="G14" s="2321">
        <v>0</v>
      </c>
      <c r="H14" s="2321">
        <v>0</v>
      </c>
      <c r="I14" s="2321">
        <v>9.2535480000000003</v>
      </c>
      <c r="J14" s="2321">
        <v>11.156556</v>
      </c>
    </row>
    <row r="15" spans="1:10" ht="15.75" x14ac:dyDescent="0.25">
      <c r="A15" s="2320" t="s">
        <v>1561</v>
      </c>
      <c r="B15" s="2321">
        <v>775.8096747039034</v>
      </c>
      <c r="C15" s="2321">
        <v>80.93364607233363</v>
      </c>
      <c r="D15" s="2321">
        <v>12.33</v>
      </c>
      <c r="E15" s="2321">
        <v>0</v>
      </c>
      <c r="F15" s="2321">
        <v>0</v>
      </c>
      <c r="G15" s="2321">
        <v>0.48</v>
      </c>
      <c r="H15" s="2321">
        <v>0</v>
      </c>
      <c r="I15" s="2321">
        <v>1.35280875376218</v>
      </c>
      <c r="J15" s="2321">
        <v>870.90612952999925</v>
      </c>
    </row>
    <row r="16" spans="1:10" ht="15.75" x14ac:dyDescent="0.25">
      <c r="A16" s="2320" t="s">
        <v>1562</v>
      </c>
      <c r="B16" s="2321">
        <v>296.93243699999999</v>
      </c>
      <c r="C16" s="2321">
        <v>546.29710092197865</v>
      </c>
      <c r="D16" s="2321">
        <v>139.61453700000001</v>
      </c>
      <c r="E16" s="2321">
        <v>167.28651104188134</v>
      </c>
      <c r="F16" s="2321">
        <v>1.0380000000000001E-3</v>
      </c>
      <c r="G16" s="2321">
        <v>0</v>
      </c>
      <c r="H16" s="2321">
        <v>0</v>
      </c>
      <c r="I16" s="2321">
        <v>103.96382243534157</v>
      </c>
      <c r="J16" s="2321">
        <v>1254.0954463992018</v>
      </c>
    </row>
    <row r="17" spans="1:10" ht="15.75" x14ac:dyDescent="0.25">
      <c r="A17" s="2320" t="s">
        <v>1563</v>
      </c>
      <c r="B17" s="2321">
        <v>307.90094080685515</v>
      </c>
      <c r="C17" s="2321">
        <v>110.55636741272201</v>
      </c>
      <c r="D17" s="2321">
        <v>0</v>
      </c>
      <c r="E17" s="2321">
        <v>617.12634933428569</v>
      </c>
      <c r="F17" s="2321">
        <v>0</v>
      </c>
      <c r="G17" s="2321">
        <v>0</v>
      </c>
      <c r="H17" s="2321">
        <v>0</v>
      </c>
      <c r="I17" s="2321">
        <v>23.544803051967104</v>
      </c>
      <c r="J17" s="2321">
        <v>1059.12846060583</v>
      </c>
    </row>
    <row r="18" spans="1:10" ht="15.75" x14ac:dyDescent="0.25">
      <c r="A18" s="2320" t="s">
        <v>1564</v>
      </c>
      <c r="B18" s="2321">
        <v>1311.3340324900037</v>
      </c>
      <c r="C18" s="2321">
        <v>370.78005342469015</v>
      </c>
      <c r="D18" s="2321">
        <v>9.83</v>
      </c>
      <c r="E18" s="2321">
        <v>0</v>
      </c>
      <c r="F18" s="2321">
        <v>10.326314223000001</v>
      </c>
      <c r="G18" s="2321">
        <v>0</v>
      </c>
      <c r="H18" s="2321">
        <v>339.37847842099995</v>
      </c>
      <c r="I18" s="2321">
        <v>410.1144887710044</v>
      </c>
      <c r="J18" s="2321">
        <v>2451.7633673296982</v>
      </c>
    </row>
    <row r="19" spans="1:10" ht="15.75" x14ac:dyDescent="0.25">
      <c r="A19" s="2320" t="s">
        <v>1565</v>
      </c>
      <c r="B19" s="2321">
        <v>1924.2436320993506</v>
      </c>
      <c r="C19" s="2321">
        <v>3068.3017127595322</v>
      </c>
      <c r="D19" s="2321">
        <v>1121.593615882008</v>
      </c>
      <c r="E19" s="2321">
        <v>396.10409580166299</v>
      </c>
      <c r="F19" s="2321">
        <v>15.34</v>
      </c>
      <c r="G19" s="2321">
        <v>0</v>
      </c>
      <c r="H19" s="2321">
        <v>0</v>
      </c>
      <c r="I19" s="2321">
        <v>3146.4752828815435</v>
      </c>
      <c r="J19" s="2321">
        <v>9672.0583394240966</v>
      </c>
    </row>
    <row r="20" spans="1:10" ht="15.75" x14ac:dyDescent="0.25">
      <c r="A20" s="2320" t="s">
        <v>1570</v>
      </c>
      <c r="B20" s="2321">
        <v>9.3735652706218406</v>
      </c>
      <c r="C20" s="2321">
        <v>48.960250905000002</v>
      </c>
      <c r="D20" s="2321">
        <v>0</v>
      </c>
      <c r="E20" s="2321">
        <v>300.96017118078265</v>
      </c>
      <c r="F20" s="2321">
        <v>0</v>
      </c>
      <c r="G20" s="2321">
        <v>0</v>
      </c>
      <c r="H20" s="2321">
        <v>0</v>
      </c>
      <c r="I20" s="2321">
        <v>56.813954805948526</v>
      </c>
      <c r="J20" s="2321">
        <v>416.10794216235303</v>
      </c>
    </row>
    <row r="21" spans="1:10" ht="15.75" x14ac:dyDescent="0.25">
      <c r="A21" s="2320" t="s">
        <v>1585</v>
      </c>
      <c r="B21" s="2321">
        <v>0</v>
      </c>
      <c r="C21" s="2321">
        <v>0.42459100000000005</v>
      </c>
      <c r="D21" s="2321">
        <v>48.873327000000003</v>
      </c>
      <c r="E21" s="2321">
        <v>0</v>
      </c>
      <c r="F21" s="2321">
        <v>0</v>
      </c>
      <c r="G21" s="2321">
        <v>0</v>
      </c>
      <c r="H21" s="2321">
        <v>0</v>
      </c>
      <c r="I21" s="2321">
        <v>49.454101000000001</v>
      </c>
      <c r="J21" s="2321">
        <v>98.752019000000004</v>
      </c>
    </row>
    <row r="22" spans="1:10" ht="15.75" x14ac:dyDescent="0.25">
      <c r="A22" s="2320" t="s">
        <v>1571</v>
      </c>
      <c r="B22" s="2321">
        <v>441.59643499000003</v>
      </c>
      <c r="C22" s="2321">
        <v>380.03918631005945</v>
      </c>
      <c r="D22" s="2321">
        <v>2.34</v>
      </c>
      <c r="E22" s="2321">
        <v>274.88870268050573</v>
      </c>
      <c r="F22" s="2321">
        <v>26.950000000000003</v>
      </c>
      <c r="G22" s="2321">
        <v>0</v>
      </c>
      <c r="H22" s="2321">
        <v>0</v>
      </c>
      <c r="I22" s="2321">
        <v>35.228656582155821</v>
      </c>
      <c r="J22" s="2321">
        <v>1161.0429805627209</v>
      </c>
    </row>
    <row r="23" spans="1:10" ht="15.75" x14ac:dyDescent="0.25">
      <c r="A23" s="2320" t="s">
        <v>1572</v>
      </c>
      <c r="B23" s="2321">
        <v>2279.2371539822202</v>
      </c>
      <c r="C23" s="2321">
        <v>545.96560791158026</v>
      </c>
      <c r="D23" s="2321">
        <v>692.24710800000003</v>
      </c>
      <c r="E23" s="2321">
        <v>40.294266183976497</v>
      </c>
      <c r="F23" s="2321">
        <v>0</v>
      </c>
      <c r="G23" s="2321">
        <v>15.129999999999999</v>
      </c>
      <c r="H23" s="2321">
        <v>0</v>
      </c>
      <c r="I23" s="2321">
        <v>393.11806105539966</v>
      </c>
      <c r="J23" s="2321">
        <v>3965.9921971331769</v>
      </c>
    </row>
    <row r="24" spans="1:10" ht="15.75" x14ac:dyDescent="0.25">
      <c r="A24" s="2320" t="s">
        <v>1574</v>
      </c>
      <c r="B24" s="2321">
        <v>843.65406119269255</v>
      </c>
      <c r="C24" s="2321">
        <v>287.8112726517129</v>
      </c>
      <c r="D24" s="2321">
        <v>387.38839199999995</v>
      </c>
      <c r="E24" s="2321">
        <v>574.71080500046219</v>
      </c>
      <c r="F24" s="2321">
        <v>79.201955597659193</v>
      </c>
      <c r="G24" s="2321">
        <v>0</v>
      </c>
      <c r="H24" s="2321">
        <v>0</v>
      </c>
      <c r="I24" s="2321">
        <v>373.25062438565118</v>
      </c>
      <c r="J24" s="2321">
        <v>2546.0171108281775</v>
      </c>
    </row>
    <row r="25" spans="1:10" ht="15.75" x14ac:dyDescent="0.25">
      <c r="A25" s="2320" t="s">
        <v>1575</v>
      </c>
      <c r="B25" s="2321">
        <v>544.11559728647978</v>
      </c>
      <c r="C25" s="2321">
        <v>247.93982788913675</v>
      </c>
      <c r="D25" s="2321">
        <v>0</v>
      </c>
      <c r="E25" s="2321">
        <v>1.4283528029999999</v>
      </c>
      <c r="F25" s="2321">
        <v>0</v>
      </c>
      <c r="G25" s="2321">
        <v>0</v>
      </c>
      <c r="H25" s="2321">
        <v>0</v>
      </c>
      <c r="I25" s="2321">
        <v>51.611749732183839</v>
      </c>
      <c r="J25" s="2321">
        <v>845.09552771080041</v>
      </c>
    </row>
    <row r="26" spans="1:10" ht="15.75" x14ac:dyDescent="0.25">
      <c r="A26" s="2320" t="s">
        <v>1576</v>
      </c>
      <c r="B26" s="2321">
        <v>0</v>
      </c>
      <c r="C26" s="2321">
        <v>73.301726000000002</v>
      </c>
      <c r="D26" s="2321">
        <v>1133.3014989999999</v>
      </c>
      <c r="E26" s="2321">
        <v>0</v>
      </c>
      <c r="F26" s="2321">
        <v>0</v>
      </c>
      <c r="G26" s="2321">
        <v>0</v>
      </c>
      <c r="H26" s="2321">
        <v>0</v>
      </c>
      <c r="I26" s="2321">
        <v>0</v>
      </c>
      <c r="J26" s="2321">
        <v>1206.6032249999998</v>
      </c>
    </row>
    <row r="27" spans="1:10" ht="15.75" x14ac:dyDescent="0.25">
      <c r="A27" s="2320" t="s">
        <v>1577</v>
      </c>
      <c r="B27" s="2321">
        <v>5732.1052098088649</v>
      </c>
      <c r="C27" s="2321">
        <v>2206.5514545350898</v>
      </c>
      <c r="D27" s="2321">
        <v>214.18483755863895</v>
      </c>
      <c r="E27" s="2321">
        <v>432.09813656673248</v>
      </c>
      <c r="F27" s="2321">
        <v>1489.6467098420001</v>
      </c>
      <c r="G27" s="2321">
        <v>0</v>
      </c>
      <c r="H27" s="2321">
        <v>153.805239188</v>
      </c>
      <c r="I27" s="2321">
        <v>959.73159852270931</v>
      </c>
      <c r="J27" s="2321">
        <v>11188.123186022034</v>
      </c>
    </row>
    <row r="28" spans="1:10" ht="15.75" x14ac:dyDescent="0.25">
      <c r="A28" s="2320" t="s">
        <v>1578</v>
      </c>
      <c r="B28" s="2321">
        <v>0</v>
      </c>
      <c r="C28" s="2321">
        <v>69.777732863379498</v>
      </c>
      <c r="D28" s="2321">
        <v>101.192915</v>
      </c>
      <c r="E28" s="2321">
        <v>0</v>
      </c>
      <c r="F28" s="2321">
        <v>0</v>
      </c>
      <c r="G28" s="2321">
        <v>0</v>
      </c>
      <c r="H28" s="2321">
        <v>0</v>
      </c>
      <c r="I28" s="2321">
        <v>57.602212999999999</v>
      </c>
      <c r="J28" s="2321">
        <v>228.5728608633795</v>
      </c>
    </row>
    <row r="29" spans="1:10" ht="15.75" x14ac:dyDescent="0.25">
      <c r="A29" s="2320" t="s">
        <v>1579</v>
      </c>
      <c r="B29" s="2321">
        <v>826.414759</v>
      </c>
      <c r="C29" s="2321">
        <v>39.469989945955952</v>
      </c>
      <c r="D29" s="2321">
        <v>18.819999999999997</v>
      </c>
      <c r="E29" s="2321">
        <v>0</v>
      </c>
      <c r="F29" s="2321">
        <v>0</v>
      </c>
      <c r="G29" s="2321">
        <v>0</v>
      </c>
      <c r="H29" s="2321">
        <v>0</v>
      </c>
      <c r="I29" s="2321">
        <v>150.16162800000001</v>
      </c>
      <c r="J29" s="2321">
        <v>1034.8663769459561</v>
      </c>
    </row>
    <row r="30" spans="1:10" ht="15.75" x14ac:dyDescent="0.25">
      <c r="A30" s="2320" t="s">
        <v>2627</v>
      </c>
      <c r="B30" s="2321">
        <v>0</v>
      </c>
      <c r="C30" s="2321">
        <v>0</v>
      </c>
      <c r="D30" s="2321">
        <v>12.135755039120859</v>
      </c>
      <c r="E30" s="2321">
        <v>0</v>
      </c>
      <c r="F30" s="2321">
        <v>0</v>
      </c>
      <c r="G30" s="2321">
        <v>0</v>
      </c>
      <c r="H30" s="2321">
        <v>0</v>
      </c>
      <c r="I30" s="2321">
        <v>0</v>
      </c>
      <c r="J30" s="2321">
        <v>12.135755039120859</v>
      </c>
    </row>
    <row r="31" spans="1:10" ht="15.75" x14ac:dyDescent="0.25">
      <c r="A31" s="2320" t="s">
        <v>2628</v>
      </c>
      <c r="B31" s="2321">
        <v>0</v>
      </c>
      <c r="C31" s="2321">
        <v>0</v>
      </c>
      <c r="D31" s="2321">
        <v>4.57</v>
      </c>
      <c r="E31" s="2321">
        <v>0</v>
      </c>
      <c r="F31" s="2321">
        <v>0</v>
      </c>
      <c r="G31" s="2321">
        <v>0.98000000000000009</v>
      </c>
      <c r="H31" s="2321">
        <v>0</v>
      </c>
      <c r="I31" s="2321">
        <v>0</v>
      </c>
      <c r="J31" s="2321">
        <v>5.5500000000000007</v>
      </c>
    </row>
    <row r="32" spans="1:10" ht="15.75" x14ac:dyDescent="0.25">
      <c r="A32" s="2320" t="s">
        <v>2629</v>
      </c>
      <c r="B32" s="2321">
        <v>0</v>
      </c>
      <c r="C32" s="2321">
        <v>0</v>
      </c>
      <c r="D32" s="2321">
        <v>744.71872671799997</v>
      </c>
      <c r="E32" s="2321">
        <v>0</v>
      </c>
      <c r="F32" s="2321">
        <v>0</v>
      </c>
      <c r="G32" s="2321">
        <v>1347</v>
      </c>
      <c r="H32" s="2321">
        <v>239.53379086999999</v>
      </c>
      <c r="I32" s="2321">
        <v>171.230924316</v>
      </c>
      <c r="J32" s="2321">
        <v>2502.4834419039994</v>
      </c>
    </row>
    <row r="33" spans="1:10" ht="15.75" x14ac:dyDescent="0.25">
      <c r="A33" s="2320" t="s">
        <v>2630</v>
      </c>
      <c r="B33" s="2321">
        <v>0</v>
      </c>
      <c r="C33" s="2321">
        <v>0</v>
      </c>
      <c r="D33" s="2321">
        <v>82.320000000000007</v>
      </c>
      <c r="E33" s="2321">
        <v>0</v>
      </c>
      <c r="F33" s="2321">
        <v>1.3776559710248399</v>
      </c>
      <c r="G33" s="2321">
        <v>463.05389337700001</v>
      </c>
      <c r="H33" s="2321">
        <v>0</v>
      </c>
      <c r="I33" s="2321">
        <v>97.107696260889682</v>
      </c>
      <c r="J33" s="2321">
        <v>643.85924560891453</v>
      </c>
    </row>
    <row r="34" spans="1:10" ht="15.75" x14ac:dyDescent="0.25">
      <c r="A34" s="2322" t="s">
        <v>133</v>
      </c>
      <c r="B34" s="2323">
        <v>19648.698466841492</v>
      </c>
      <c r="C34" s="2323">
        <v>16520.21816947882</v>
      </c>
      <c r="D34" s="2323">
        <v>7960.2216985552968</v>
      </c>
      <c r="E34" s="2323">
        <v>5525.9890803156022</v>
      </c>
      <c r="F34" s="2323">
        <v>3899.0493741389746</v>
      </c>
      <c r="G34" s="2323">
        <v>1826.643893377</v>
      </c>
      <c r="H34" s="2323">
        <v>760.8256981269999</v>
      </c>
      <c r="I34" s="2323">
        <v>12906.405254551644</v>
      </c>
      <c r="J34" s="2323">
        <v>69048.251635385837</v>
      </c>
    </row>
    <row r="35" spans="1:10" ht="71.25" customHeight="1" x14ac:dyDescent="0.25">
      <c r="A35" s="3102" t="s">
        <v>2969</v>
      </c>
      <c r="B35" s="3102"/>
      <c r="C35" s="3102"/>
      <c r="D35" s="3102"/>
      <c r="E35" s="3102"/>
      <c r="F35" s="3102"/>
      <c r="G35" s="3102"/>
      <c r="H35" s="3102"/>
      <c r="I35" s="3102"/>
      <c r="J35" s="3102"/>
    </row>
  </sheetData>
  <mergeCells count="2">
    <mergeCell ref="A2:J2"/>
    <mergeCell ref="A35:J35"/>
  </mergeCells>
  <pageMargins left="0.70866141732283472" right="0.70866141732283472" top="0.74803149606299213" bottom="0.74803149606299213" header="0.31496062992125984" footer="0.31496062992125984"/>
  <pageSetup scale="78" orientation="landscape" horizontalDpi="300" verticalDpi="300"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E08171-53E2-484F-8908-9E2B0E4C9E76}">
  <sheetPr>
    <tabColor rgb="FF92D050"/>
    <pageSetUpPr fitToPage="1"/>
  </sheetPr>
  <dimension ref="A2:AB37"/>
  <sheetViews>
    <sheetView view="pageBreakPreview" topLeftCell="A16" zoomScale="85" zoomScaleNormal="85" zoomScaleSheetLayoutView="85" workbookViewId="0">
      <selection activeCell="N32" sqref="N32"/>
    </sheetView>
  </sheetViews>
  <sheetFormatPr defaultRowHeight="15" x14ac:dyDescent="0.25"/>
  <cols>
    <col min="1" max="1" width="24.7109375" style="1634" customWidth="1"/>
    <col min="2" max="2" width="10.28515625" style="1634" customWidth="1"/>
    <col min="3" max="3" width="9.140625" style="1634"/>
    <col min="4" max="4" width="12.140625" style="1634" bestFit="1" customWidth="1"/>
    <col min="5" max="5" width="9.140625" style="1634"/>
    <col min="6" max="6" width="12.140625" style="1634" bestFit="1" customWidth="1"/>
    <col min="7" max="7" width="10.42578125" style="1634" customWidth="1"/>
    <col min="8" max="8" width="12.140625" style="1634" bestFit="1" customWidth="1"/>
    <col min="9" max="9" width="9.140625" style="1634"/>
    <col min="10" max="10" width="12.140625" style="1634" bestFit="1" customWidth="1"/>
    <col min="11" max="11" width="9.140625" style="1634"/>
    <col min="12" max="12" width="12.140625" style="1634" bestFit="1" customWidth="1"/>
    <col min="13" max="13" width="9.140625" style="1634"/>
    <col min="14" max="14" width="12.140625" style="1634" bestFit="1" customWidth="1"/>
    <col min="15" max="15" width="9.140625" style="1634"/>
    <col min="16" max="16" width="12.140625" style="1634" bestFit="1" customWidth="1"/>
    <col min="17" max="17" width="9.140625" style="1634"/>
    <col min="18" max="18" width="12.140625" style="1634" bestFit="1" customWidth="1"/>
    <col min="19" max="19" width="9.140625" style="1634"/>
    <col min="20" max="20" width="12.140625" style="1634" bestFit="1" customWidth="1"/>
    <col min="21" max="21" width="9.140625" style="1634"/>
    <col min="22" max="22" width="12.140625" style="1634" bestFit="1" customWidth="1"/>
    <col min="23" max="23" width="9.140625" style="1634"/>
    <col min="24" max="24" width="12.140625" style="1634" bestFit="1" customWidth="1"/>
    <col min="25" max="25" width="9.140625" style="1634"/>
    <col min="26" max="26" width="12.140625" style="1634" bestFit="1" customWidth="1"/>
    <col min="27" max="27" width="10.7109375" style="1634" customWidth="1"/>
    <col min="28" max="28" width="12.140625" style="1634" customWidth="1"/>
    <col min="29" max="16384" width="9.140625" style="1634"/>
  </cols>
  <sheetData>
    <row r="2" spans="1:28" ht="18.75" x14ac:dyDescent="0.25">
      <c r="A2" s="3103" t="s">
        <v>2638</v>
      </c>
      <c r="B2" s="3104"/>
      <c r="C2" s="3104"/>
      <c r="D2" s="3104"/>
      <c r="E2" s="3104"/>
      <c r="F2" s="3104"/>
      <c r="G2" s="3104"/>
      <c r="H2" s="3104"/>
      <c r="I2" s="3104"/>
      <c r="J2" s="3104"/>
      <c r="K2" s="3104"/>
      <c r="L2" s="3104"/>
      <c r="M2" s="3104"/>
      <c r="N2" s="3104"/>
      <c r="O2" s="3104"/>
      <c r="P2" s="3104"/>
      <c r="Q2" s="3104"/>
      <c r="R2" s="3104"/>
      <c r="S2" s="3104"/>
      <c r="T2" s="3104"/>
      <c r="U2" s="3104"/>
      <c r="V2" s="3104"/>
      <c r="W2" s="3104"/>
      <c r="X2" s="3104"/>
      <c r="Y2" s="3104"/>
      <c r="Z2" s="3104"/>
      <c r="AA2" s="3104"/>
      <c r="AB2" s="3104"/>
    </row>
    <row r="4" spans="1:28" ht="15" customHeight="1" x14ac:dyDescent="0.25">
      <c r="A4" s="3113" t="s">
        <v>217</v>
      </c>
      <c r="B4" s="3107" t="s">
        <v>2613</v>
      </c>
      <c r="C4" s="3108"/>
      <c r="D4" s="3105" t="s">
        <v>2614</v>
      </c>
      <c r="E4" s="3106"/>
      <c r="F4" s="3107" t="s">
        <v>2615</v>
      </c>
      <c r="G4" s="3108"/>
      <c r="H4" s="3105" t="s">
        <v>2616</v>
      </c>
      <c r="I4" s="3106"/>
      <c r="J4" s="3107" t="s">
        <v>2617</v>
      </c>
      <c r="K4" s="3108"/>
      <c r="L4" s="3105" t="s">
        <v>2618</v>
      </c>
      <c r="M4" s="3106"/>
      <c r="N4" s="3107" t="s">
        <v>2619</v>
      </c>
      <c r="O4" s="3108"/>
      <c r="P4" s="3105" t="s">
        <v>113</v>
      </c>
      <c r="Q4" s="3106"/>
      <c r="R4" s="3107" t="s">
        <v>2620</v>
      </c>
      <c r="S4" s="3108"/>
      <c r="T4" s="3105" t="s">
        <v>2621</v>
      </c>
      <c r="U4" s="3106"/>
      <c r="V4" s="3107" t="s">
        <v>2622</v>
      </c>
      <c r="W4" s="3108"/>
      <c r="X4" s="3105" t="s">
        <v>2623</v>
      </c>
      <c r="Y4" s="3106"/>
      <c r="Z4" s="3107" t="s">
        <v>2841</v>
      </c>
      <c r="AA4" s="3108"/>
      <c r="AB4" s="3109"/>
    </row>
    <row r="5" spans="1:28" ht="30" x14ac:dyDescent="0.25">
      <c r="A5" s="3113"/>
      <c r="B5" s="1861" t="s">
        <v>1684</v>
      </c>
      <c r="C5" s="1862" t="s">
        <v>2624</v>
      </c>
      <c r="D5" s="1861" t="s">
        <v>1684</v>
      </c>
      <c r="E5" s="1862" t="s">
        <v>2624</v>
      </c>
      <c r="F5" s="1861" t="s">
        <v>1684</v>
      </c>
      <c r="G5" s="1862" t="s">
        <v>2624</v>
      </c>
      <c r="H5" s="1861" t="s">
        <v>1684</v>
      </c>
      <c r="I5" s="1862" t="s">
        <v>2624</v>
      </c>
      <c r="J5" s="1861" t="s">
        <v>1684</v>
      </c>
      <c r="K5" s="1862" t="s">
        <v>2624</v>
      </c>
      <c r="L5" s="1861" t="s">
        <v>1684</v>
      </c>
      <c r="M5" s="1862" t="s">
        <v>2624</v>
      </c>
      <c r="N5" s="1861" t="s">
        <v>1684</v>
      </c>
      <c r="O5" s="1862" t="s">
        <v>2624</v>
      </c>
      <c r="P5" s="1861" t="s">
        <v>1684</v>
      </c>
      <c r="Q5" s="1862" t="s">
        <v>2624</v>
      </c>
      <c r="R5" s="1861" t="s">
        <v>1684</v>
      </c>
      <c r="S5" s="1862" t="s">
        <v>2624</v>
      </c>
      <c r="T5" s="1861" t="s">
        <v>1684</v>
      </c>
      <c r="U5" s="1862" t="s">
        <v>2624</v>
      </c>
      <c r="V5" s="1861" t="s">
        <v>1684</v>
      </c>
      <c r="W5" s="1862" t="s">
        <v>2624</v>
      </c>
      <c r="X5" s="1861" t="s">
        <v>1684</v>
      </c>
      <c r="Y5" s="1862" t="s">
        <v>2624</v>
      </c>
      <c r="Z5" s="1861" t="s">
        <v>1684</v>
      </c>
      <c r="AA5" s="1862" t="s">
        <v>2624</v>
      </c>
      <c r="AB5" s="1861" t="s">
        <v>2625</v>
      </c>
    </row>
    <row r="6" spans="1:28" x14ac:dyDescent="0.25">
      <c r="A6" s="1856" t="s">
        <v>1552</v>
      </c>
      <c r="B6" s="1859"/>
      <c r="C6" s="1859"/>
      <c r="D6" s="1859">
        <v>102.66534901674788</v>
      </c>
      <c r="E6" s="1859">
        <v>6.3061812994735762</v>
      </c>
      <c r="F6" s="1859">
        <v>7.6281659999999993</v>
      </c>
      <c r="G6" s="1859">
        <v>8.116799999999999E-2</v>
      </c>
      <c r="H6" s="1859"/>
      <c r="I6" s="1859"/>
      <c r="J6" s="1859"/>
      <c r="K6" s="1859"/>
      <c r="L6" s="1859"/>
      <c r="M6" s="1859"/>
      <c r="N6" s="1859">
        <v>21.531993</v>
      </c>
      <c r="O6" s="1859">
        <v>4.7716000000000001E-2</v>
      </c>
      <c r="P6" s="1859">
        <v>1425.9009605829997</v>
      </c>
      <c r="Q6" s="1859">
        <v>4.17E-4</v>
      </c>
      <c r="R6" s="1859"/>
      <c r="S6" s="1859"/>
      <c r="T6" s="1859">
        <v>174.61261177</v>
      </c>
      <c r="U6" s="1859">
        <v>9.52</v>
      </c>
      <c r="V6" s="1859"/>
      <c r="W6" s="1859"/>
      <c r="X6" s="1859"/>
      <c r="Y6" s="1859"/>
      <c r="Z6" s="1860">
        <v>1732.3390803697475</v>
      </c>
      <c r="AA6" s="1860">
        <v>15.955482299473577</v>
      </c>
      <c r="AB6" s="1863">
        <v>1748.2945626692212</v>
      </c>
    </row>
    <row r="7" spans="1:28" x14ac:dyDescent="0.25">
      <c r="A7" s="1856" t="s">
        <v>1553</v>
      </c>
      <c r="B7" s="1859">
        <v>1.8782110000000001</v>
      </c>
      <c r="C7" s="1859"/>
      <c r="D7" s="1859">
        <v>0.59851100000000002</v>
      </c>
      <c r="E7" s="1859"/>
      <c r="F7" s="1859">
        <v>4.725994</v>
      </c>
      <c r="G7" s="1859"/>
      <c r="H7" s="1859"/>
      <c r="I7" s="1859"/>
      <c r="J7" s="1859"/>
      <c r="K7" s="1859"/>
      <c r="L7" s="1859">
        <v>3.1359999999999999E-2</v>
      </c>
      <c r="M7" s="1859"/>
      <c r="N7" s="1859"/>
      <c r="O7" s="1859"/>
      <c r="P7" s="1859"/>
      <c r="Q7" s="1859"/>
      <c r="R7" s="1859">
        <v>8.7062300000000015</v>
      </c>
      <c r="S7" s="1859"/>
      <c r="T7" s="1859">
        <v>14.296388</v>
      </c>
      <c r="U7" s="1859"/>
      <c r="V7" s="1859">
        <v>5.8479539999999997</v>
      </c>
      <c r="W7" s="1859"/>
      <c r="X7" s="1859"/>
      <c r="Y7" s="1859"/>
      <c r="Z7" s="1860">
        <v>36.084648000000001</v>
      </c>
      <c r="AA7" s="1860"/>
      <c r="AB7" s="1863">
        <v>36.084648000000001</v>
      </c>
    </row>
    <row r="8" spans="1:28" x14ac:dyDescent="0.25">
      <c r="A8" s="1856" t="s">
        <v>1554</v>
      </c>
      <c r="B8" s="1859">
        <v>130.47948399999999</v>
      </c>
      <c r="C8" s="1859"/>
      <c r="D8" s="1859">
        <v>190.61686300000002</v>
      </c>
      <c r="E8" s="1859">
        <v>1.2664E-2</v>
      </c>
      <c r="F8" s="1859">
        <v>317.607912</v>
      </c>
      <c r="G8" s="1859"/>
      <c r="H8" s="1859"/>
      <c r="I8" s="1859"/>
      <c r="J8" s="1859"/>
      <c r="K8" s="1859"/>
      <c r="L8" s="1859">
        <v>21.98489</v>
      </c>
      <c r="M8" s="1859"/>
      <c r="N8" s="1859"/>
      <c r="O8" s="1859"/>
      <c r="P8" s="1859">
        <v>80.824501999999995</v>
      </c>
      <c r="Q8" s="1859"/>
      <c r="R8" s="1859">
        <v>658.43054600000005</v>
      </c>
      <c r="S8" s="1859"/>
      <c r="T8" s="1859">
        <v>879.63761700000009</v>
      </c>
      <c r="U8" s="1859"/>
      <c r="V8" s="1859">
        <v>428.71913799999999</v>
      </c>
      <c r="W8" s="1859">
        <v>2.4423003621894601</v>
      </c>
      <c r="X8" s="1859"/>
      <c r="Y8" s="1859"/>
      <c r="Z8" s="1860">
        <v>2708.3009520000001</v>
      </c>
      <c r="AA8" s="1860">
        <v>2.4549643621894601</v>
      </c>
      <c r="AB8" s="1863">
        <v>2710.75591636219</v>
      </c>
    </row>
    <row r="9" spans="1:28" x14ac:dyDescent="0.25">
      <c r="A9" s="1856" t="s">
        <v>1555</v>
      </c>
      <c r="B9" s="1859"/>
      <c r="C9" s="1859"/>
      <c r="D9" s="1859">
        <v>171.47410411300001</v>
      </c>
      <c r="E9" s="1859">
        <v>32.807526215314454</v>
      </c>
      <c r="F9" s="1859"/>
      <c r="G9" s="1859">
        <v>720.90708878834653</v>
      </c>
      <c r="H9" s="1859"/>
      <c r="I9" s="1859"/>
      <c r="J9" s="1859"/>
      <c r="K9" s="1859"/>
      <c r="L9" s="1859"/>
      <c r="M9" s="1859"/>
      <c r="N9" s="1859"/>
      <c r="O9" s="1859"/>
      <c r="P9" s="1859"/>
      <c r="Q9" s="1859"/>
      <c r="R9" s="1859"/>
      <c r="S9" s="1859"/>
      <c r="T9" s="1859"/>
      <c r="U9" s="1859"/>
      <c r="V9" s="1859">
        <v>75.059999999999988</v>
      </c>
      <c r="W9" s="1859">
        <v>176.30088098263116</v>
      </c>
      <c r="X9" s="1859"/>
      <c r="Y9" s="1859"/>
      <c r="Z9" s="1860">
        <v>246.53410411300001</v>
      </c>
      <c r="AA9" s="1860">
        <v>930.01549598629197</v>
      </c>
      <c r="AB9" s="1863">
        <v>1176.5496000992921</v>
      </c>
    </row>
    <row r="10" spans="1:28" x14ac:dyDescent="0.25">
      <c r="A10" s="1856" t="s">
        <v>1719</v>
      </c>
      <c r="B10" s="1859"/>
      <c r="C10" s="1859"/>
      <c r="D10" s="1859">
        <v>4.39135685502219</v>
      </c>
      <c r="E10" s="1859">
        <v>4.4037579999999998</v>
      </c>
      <c r="F10" s="1859"/>
      <c r="G10" s="1859"/>
      <c r="H10" s="1859"/>
      <c r="I10" s="1859"/>
      <c r="J10" s="1859"/>
      <c r="K10" s="1859"/>
      <c r="L10" s="1859"/>
      <c r="M10" s="1859"/>
      <c r="N10" s="1859"/>
      <c r="O10" s="1859"/>
      <c r="P10" s="1859"/>
      <c r="Q10" s="1859"/>
      <c r="R10" s="1859"/>
      <c r="S10" s="1859"/>
      <c r="T10" s="1859"/>
      <c r="U10" s="1859"/>
      <c r="V10" s="1859"/>
      <c r="W10" s="1859"/>
      <c r="X10" s="1859"/>
      <c r="Y10" s="1859"/>
      <c r="Z10" s="1860">
        <v>4.39135685502219</v>
      </c>
      <c r="AA10" s="1860">
        <v>4.4037579999999998</v>
      </c>
      <c r="AB10" s="1863">
        <v>8.7951148550221898</v>
      </c>
    </row>
    <row r="11" spans="1:28" ht="30" x14ac:dyDescent="0.25">
      <c r="A11" s="1857" t="s">
        <v>2626</v>
      </c>
      <c r="B11" s="1859"/>
      <c r="C11" s="1859"/>
      <c r="D11" s="1859">
        <v>17.338485933566126</v>
      </c>
      <c r="E11" s="1859">
        <v>38.456327602137819</v>
      </c>
      <c r="F11" s="1859"/>
      <c r="G11" s="1859"/>
      <c r="H11" s="1859"/>
      <c r="I11" s="1859"/>
      <c r="J11" s="1859"/>
      <c r="K11" s="1859"/>
      <c r="L11" s="1859"/>
      <c r="M11" s="1859"/>
      <c r="N11" s="1859"/>
      <c r="O11" s="1859">
        <v>0.246308</v>
      </c>
      <c r="P11" s="1859"/>
      <c r="Q11" s="1859"/>
      <c r="R11" s="1859"/>
      <c r="S11" s="1859"/>
      <c r="T11" s="1859"/>
      <c r="U11" s="1859"/>
      <c r="V11" s="1859"/>
      <c r="W11" s="1859"/>
      <c r="X11" s="1859"/>
      <c r="Y11" s="1859"/>
      <c r="Z11" s="1860">
        <v>17.338485933566126</v>
      </c>
      <c r="AA11" s="1860">
        <v>38.702635602137818</v>
      </c>
      <c r="AB11" s="1863">
        <v>56.041121535703944</v>
      </c>
    </row>
    <row r="12" spans="1:28" x14ac:dyDescent="0.25">
      <c r="A12" s="1856" t="s">
        <v>1556</v>
      </c>
      <c r="B12" s="1859"/>
      <c r="C12" s="1859"/>
      <c r="D12" s="1859">
        <v>1222.157694</v>
      </c>
      <c r="E12" s="1859">
        <v>772.85375584879853</v>
      </c>
      <c r="F12" s="1859"/>
      <c r="G12" s="1859"/>
      <c r="H12" s="1859"/>
      <c r="I12" s="1859"/>
      <c r="J12" s="1859"/>
      <c r="K12" s="1859"/>
      <c r="L12" s="1859"/>
      <c r="M12" s="1859"/>
      <c r="N12" s="1859"/>
      <c r="O12" s="1859"/>
      <c r="P12" s="1859">
        <v>9.89</v>
      </c>
      <c r="Q12" s="1859">
        <v>12.236699994898739</v>
      </c>
      <c r="R12" s="1859"/>
      <c r="S12" s="1859"/>
      <c r="T12" s="1859">
        <v>343.401768</v>
      </c>
      <c r="U12" s="1859">
        <v>269.68387300000001</v>
      </c>
      <c r="V12" s="1859"/>
      <c r="W12" s="1859"/>
      <c r="X12" s="1859"/>
      <c r="Y12" s="1859"/>
      <c r="Z12" s="1860">
        <v>1575.449462</v>
      </c>
      <c r="AA12" s="1860">
        <v>1054.7743288436973</v>
      </c>
      <c r="AB12" s="1863">
        <v>2630.2237908436973</v>
      </c>
    </row>
    <row r="13" spans="1:28" x14ac:dyDescent="0.25">
      <c r="A13" s="1856" t="s">
        <v>1557</v>
      </c>
      <c r="B13" s="1859"/>
      <c r="C13" s="1859"/>
      <c r="D13" s="1859">
        <v>6.8782070000000006</v>
      </c>
      <c r="E13" s="1859">
        <v>34.339994999999995</v>
      </c>
      <c r="F13" s="1859"/>
      <c r="G13" s="1859">
        <v>347.59506400000004</v>
      </c>
      <c r="H13" s="1859"/>
      <c r="I13" s="1859"/>
      <c r="J13" s="1859"/>
      <c r="K13" s="1859"/>
      <c r="L13" s="1859"/>
      <c r="M13" s="1859"/>
      <c r="N13" s="1859">
        <v>2.6007000000000002E-2</v>
      </c>
      <c r="O13" s="1859">
        <v>7.3269719999999996</v>
      </c>
      <c r="P13" s="1859"/>
      <c r="Q13" s="1859"/>
      <c r="R13" s="1859"/>
      <c r="S13" s="1859"/>
      <c r="T13" s="1859"/>
      <c r="U13" s="1859"/>
      <c r="V13" s="1859"/>
      <c r="W13" s="1859"/>
      <c r="X13" s="1859"/>
      <c r="Y13" s="1859"/>
      <c r="Z13" s="1860">
        <v>6.9042140000000005</v>
      </c>
      <c r="AA13" s="1860">
        <v>389.26203099999998</v>
      </c>
      <c r="AB13" s="1863">
        <v>396.166245</v>
      </c>
    </row>
    <row r="14" spans="1:28" x14ac:dyDescent="0.25">
      <c r="A14" s="1856" t="s">
        <v>1558</v>
      </c>
      <c r="B14" s="1859"/>
      <c r="C14" s="1859"/>
      <c r="D14" s="1859">
        <v>2641.2183366863733</v>
      </c>
      <c r="E14" s="1859">
        <v>1855.684727432101</v>
      </c>
      <c r="F14" s="1859">
        <v>494.04977299999996</v>
      </c>
      <c r="G14" s="1859">
        <v>2123.0439909022498</v>
      </c>
      <c r="H14" s="1859"/>
      <c r="I14" s="1859"/>
      <c r="J14" s="1859">
        <v>76.62003262149338</v>
      </c>
      <c r="K14" s="1859">
        <v>435.4200905744168</v>
      </c>
      <c r="L14" s="1859">
        <v>6.0922804499999996</v>
      </c>
      <c r="M14" s="1859">
        <v>1.5909197999999999E-2</v>
      </c>
      <c r="N14" s="1859">
        <v>239.5308969680151</v>
      </c>
      <c r="O14" s="1859">
        <v>367.17260300000004</v>
      </c>
      <c r="P14" s="1859">
        <v>3002.3646217292662</v>
      </c>
      <c r="Q14" s="1859">
        <v>714.49458585393666</v>
      </c>
      <c r="R14" s="1859">
        <v>1187.1764533857063</v>
      </c>
      <c r="S14" s="1859">
        <v>86.182297324354721</v>
      </c>
      <c r="T14" s="1859">
        <v>12.678780999999999</v>
      </c>
      <c r="U14" s="1859">
        <v>1476.0519322021451</v>
      </c>
      <c r="V14" s="1859"/>
      <c r="W14" s="1859">
        <v>666.0061092586343</v>
      </c>
      <c r="X14" s="1859"/>
      <c r="Y14" s="1859">
        <v>7.1</v>
      </c>
      <c r="Z14" s="1860">
        <v>7659.731175840855</v>
      </c>
      <c r="AA14" s="1860">
        <v>7731.17224574584</v>
      </c>
      <c r="AB14" s="1863">
        <v>15390.903421586694</v>
      </c>
    </row>
    <row r="15" spans="1:28" x14ac:dyDescent="0.25">
      <c r="A15" s="1856" t="s">
        <v>1559</v>
      </c>
      <c r="B15" s="1859"/>
      <c r="C15" s="1859"/>
      <c r="D15" s="1859">
        <v>881.17831386735782</v>
      </c>
      <c r="E15" s="1859">
        <v>457.82205232197788</v>
      </c>
      <c r="F15" s="1859"/>
      <c r="G15" s="1859">
        <v>340.3850515199041</v>
      </c>
      <c r="H15" s="1859"/>
      <c r="I15" s="1859"/>
      <c r="J15" s="1859"/>
      <c r="K15" s="1859">
        <v>31.000000255063</v>
      </c>
      <c r="L15" s="1859"/>
      <c r="M15" s="1859"/>
      <c r="N15" s="1859">
        <v>8.2272549999999995</v>
      </c>
      <c r="O15" s="1859">
        <v>213.396514</v>
      </c>
      <c r="P15" s="1859">
        <v>7.232365999999999</v>
      </c>
      <c r="Q15" s="1859">
        <v>23.404339999999998</v>
      </c>
      <c r="R15" s="1859"/>
      <c r="S15" s="1859">
        <v>335.74694979522928</v>
      </c>
      <c r="T15" s="1859">
        <v>1.3972961553843799</v>
      </c>
      <c r="U15" s="1859">
        <v>53.547334999999997</v>
      </c>
      <c r="V15" s="1859">
        <v>648.24720842755767</v>
      </c>
      <c r="W15" s="1859">
        <v>718.47749105348953</v>
      </c>
      <c r="X15" s="1859"/>
      <c r="Y15" s="1859"/>
      <c r="Z15" s="1860">
        <v>1546.2824394503</v>
      </c>
      <c r="AA15" s="1860">
        <v>2173.7797339456638</v>
      </c>
      <c r="AB15" s="1863">
        <v>3720.0621733959633</v>
      </c>
    </row>
    <row r="16" spans="1:28" x14ac:dyDescent="0.25">
      <c r="A16" s="1856" t="s">
        <v>1560</v>
      </c>
      <c r="B16" s="1859"/>
      <c r="C16" s="1859"/>
      <c r="D16" s="1859">
        <v>1.9025479999999999</v>
      </c>
      <c r="E16" s="1859">
        <v>4.6000000000000001E-4</v>
      </c>
      <c r="F16" s="1859"/>
      <c r="G16" s="1859"/>
      <c r="H16" s="1859"/>
      <c r="I16" s="1859"/>
      <c r="J16" s="1859"/>
      <c r="K16" s="1859"/>
      <c r="L16" s="1859"/>
      <c r="M16" s="1859"/>
      <c r="N16" s="1859">
        <v>6.7000000000000002E-4</v>
      </c>
      <c r="O16" s="1859">
        <v>1.541272</v>
      </c>
      <c r="P16" s="1859">
        <v>2.4709999999999999E-2</v>
      </c>
      <c r="Q16" s="1859">
        <v>7.6868959999999991</v>
      </c>
      <c r="R16" s="1859"/>
      <c r="S16" s="1859"/>
      <c r="T16" s="1859"/>
      <c r="U16" s="1859"/>
      <c r="V16" s="1859"/>
      <c r="W16" s="1859"/>
      <c r="X16" s="1859"/>
      <c r="Y16" s="1859"/>
      <c r="Z16" s="1860">
        <v>1.9279280000000001</v>
      </c>
      <c r="AA16" s="1860">
        <v>9.2286280000000005</v>
      </c>
      <c r="AB16" s="1863">
        <v>11.156556</v>
      </c>
    </row>
    <row r="17" spans="1:28" x14ac:dyDescent="0.25">
      <c r="A17" s="1856" t="s">
        <v>1561</v>
      </c>
      <c r="B17" s="1859"/>
      <c r="C17" s="1859"/>
      <c r="D17" s="1859">
        <v>39.375345963937406</v>
      </c>
      <c r="E17" s="1859">
        <v>41.55830010839621</v>
      </c>
      <c r="F17" s="1859"/>
      <c r="G17" s="1859">
        <v>775.8096747039034</v>
      </c>
      <c r="H17" s="1859">
        <v>0.48</v>
      </c>
      <c r="I17" s="1859"/>
      <c r="J17" s="1859"/>
      <c r="K17" s="1859"/>
      <c r="L17" s="1859"/>
      <c r="M17" s="1859"/>
      <c r="N17" s="1859"/>
      <c r="O17" s="1859"/>
      <c r="P17" s="1859"/>
      <c r="Q17" s="1859">
        <v>1.35280875376218</v>
      </c>
      <c r="R17" s="1859"/>
      <c r="S17" s="1859"/>
      <c r="T17" s="1859">
        <v>12.33</v>
      </c>
      <c r="U17" s="1859"/>
      <c r="V17" s="1859"/>
      <c r="W17" s="1859"/>
      <c r="X17" s="1859"/>
      <c r="Y17" s="1859"/>
      <c r="Z17" s="1860">
        <v>52.185345963937408</v>
      </c>
      <c r="AA17" s="1860">
        <v>818.72078356606175</v>
      </c>
      <c r="AB17" s="1863">
        <v>870.90612952999913</v>
      </c>
    </row>
    <row r="18" spans="1:28" x14ac:dyDescent="0.25">
      <c r="A18" s="1856" t="s">
        <v>1562</v>
      </c>
      <c r="B18" s="1859"/>
      <c r="C18" s="1859"/>
      <c r="D18" s="1859">
        <v>291.26770057245614</v>
      </c>
      <c r="E18" s="1859">
        <v>255.02940034952258</v>
      </c>
      <c r="F18" s="1859"/>
      <c r="G18" s="1859">
        <v>296.93243699999999</v>
      </c>
      <c r="H18" s="1859"/>
      <c r="I18" s="1859"/>
      <c r="J18" s="1859">
        <v>0.175066</v>
      </c>
      <c r="K18" s="1859">
        <v>48.930833481610001</v>
      </c>
      <c r="L18" s="1859"/>
      <c r="M18" s="1859"/>
      <c r="N18" s="1859">
        <v>3.3373728335969002</v>
      </c>
      <c r="O18" s="1859">
        <v>26.337606999999998</v>
      </c>
      <c r="P18" s="1859">
        <v>25.02</v>
      </c>
      <c r="Q18" s="1859">
        <v>0.16294312013466999</v>
      </c>
      <c r="R18" s="1859"/>
      <c r="S18" s="1859">
        <v>1.0380000000000001E-3</v>
      </c>
      <c r="T18" s="1859"/>
      <c r="U18" s="1859">
        <v>139.61453700000001</v>
      </c>
      <c r="V18" s="1859"/>
      <c r="W18" s="1859">
        <v>167.28651104188134</v>
      </c>
      <c r="X18" s="1859"/>
      <c r="Y18" s="1859"/>
      <c r="Z18" s="1860">
        <v>319.80013940605301</v>
      </c>
      <c r="AA18" s="1860">
        <v>934.29530699314864</v>
      </c>
      <c r="AB18" s="1863">
        <v>1254.0954463992016</v>
      </c>
    </row>
    <row r="19" spans="1:28" x14ac:dyDescent="0.25">
      <c r="A19" s="1856" t="s">
        <v>1563</v>
      </c>
      <c r="B19" s="1859"/>
      <c r="C19" s="1859"/>
      <c r="D19" s="1859">
        <v>56.579789000000005</v>
      </c>
      <c r="E19" s="1859">
        <v>53.976578412721992</v>
      </c>
      <c r="F19" s="1859"/>
      <c r="G19" s="1859">
        <v>307.90094080685515</v>
      </c>
      <c r="H19" s="1859"/>
      <c r="I19" s="1859"/>
      <c r="J19" s="1859"/>
      <c r="K19" s="1859">
        <v>0.74321140152143994</v>
      </c>
      <c r="L19" s="1859"/>
      <c r="M19" s="1859"/>
      <c r="N19" s="1859"/>
      <c r="O19" s="1859">
        <v>5.7280759999999997</v>
      </c>
      <c r="P19" s="1859"/>
      <c r="Q19" s="1859">
        <v>17.073515650445664</v>
      </c>
      <c r="R19" s="1859"/>
      <c r="S19" s="1859"/>
      <c r="T19" s="1859"/>
      <c r="U19" s="1859"/>
      <c r="V19" s="1859"/>
      <c r="W19" s="1859">
        <v>617.12634933428569</v>
      </c>
      <c r="X19" s="1859"/>
      <c r="Y19" s="1859"/>
      <c r="Z19" s="1860">
        <v>56.579789000000005</v>
      </c>
      <c r="AA19" s="1860">
        <v>1002.5486716058298</v>
      </c>
      <c r="AB19" s="1863">
        <v>1059.1284606058298</v>
      </c>
    </row>
    <row r="20" spans="1:28" x14ac:dyDescent="0.25">
      <c r="A20" s="1856" t="s">
        <v>1564</v>
      </c>
      <c r="B20" s="1859"/>
      <c r="C20" s="1859"/>
      <c r="D20" s="1859">
        <v>193.6386888339818</v>
      </c>
      <c r="E20" s="1859">
        <v>177.14136459070838</v>
      </c>
      <c r="F20" s="1859">
        <v>249.45731499999999</v>
      </c>
      <c r="G20" s="1859">
        <v>1061.8767174900036</v>
      </c>
      <c r="H20" s="1859"/>
      <c r="I20" s="1859"/>
      <c r="J20" s="1859"/>
      <c r="K20" s="1859">
        <v>21.050000000000004</v>
      </c>
      <c r="L20" s="1859">
        <v>339.37847842099995</v>
      </c>
      <c r="M20" s="1859"/>
      <c r="N20" s="1859">
        <v>5.5889999999999994E-3</v>
      </c>
      <c r="O20" s="1859">
        <v>55.781757999999996</v>
      </c>
      <c r="P20" s="1859">
        <v>328.48008399999998</v>
      </c>
      <c r="Q20" s="1859">
        <v>4.7970577710044298</v>
      </c>
      <c r="R20" s="1859"/>
      <c r="S20" s="1859">
        <v>10.326314223000001</v>
      </c>
      <c r="T20" s="1859">
        <v>9.83</v>
      </c>
      <c r="U20" s="1859"/>
      <c r="V20" s="1859"/>
      <c r="W20" s="1859"/>
      <c r="X20" s="1859"/>
      <c r="Y20" s="1859"/>
      <c r="Z20" s="1860">
        <v>1120.7901552549815</v>
      </c>
      <c r="AA20" s="1860">
        <v>1330.9732120747165</v>
      </c>
      <c r="AB20" s="1863">
        <v>2451.7633673296987</v>
      </c>
    </row>
    <row r="21" spans="1:28" x14ac:dyDescent="0.25">
      <c r="A21" s="1856" t="s">
        <v>1565</v>
      </c>
      <c r="B21" s="1859"/>
      <c r="C21" s="1859"/>
      <c r="D21" s="1859">
        <v>1838.8187876066715</v>
      </c>
      <c r="E21" s="1859">
        <v>1229.4829251528613</v>
      </c>
      <c r="F21" s="1859">
        <v>807.50399100000004</v>
      </c>
      <c r="G21" s="1859">
        <v>1116.7396410993506</v>
      </c>
      <c r="H21" s="1859"/>
      <c r="I21" s="1859"/>
      <c r="J21" s="1859">
        <v>4.9764483822189991</v>
      </c>
      <c r="K21" s="1859">
        <v>55.88864227953745</v>
      </c>
      <c r="L21" s="1859"/>
      <c r="M21" s="1859"/>
      <c r="N21" s="1859">
        <v>71.39396226501043</v>
      </c>
      <c r="O21" s="1859">
        <v>183.56911799999997</v>
      </c>
      <c r="P21" s="1859">
        <v>2122.7027246209254</v>
      </c>
      <c r="Q21" s="1859">
        <v>94.104294961867396</v>
      </c>
      <c r="R21" s="1859"/>
      <c r="S21" s="1859">
        <v>15.34</v>
      </c>
      <c r="T21" s="1859">
        <v>998.23829687751891</v>
      </c>
      <c r="U21" s="1859">
        <v>123.35531900448912</v>
      </c>
      <c r="V21" s="1859">
        <v>23.827411875733304</v>
      </c>
      <c r="W21" s="1859">
        <v>372.27668392592966</v>
      </c>
      <c r="X21" s="1859">
        <v>17.893177999999999</v>
      </c>
      <c r="Y21" s="1859">
        <v>595.94691437198389</v>
      </c>
      <c r="Z21" s="1860">
        <v>5885.354800628078</v>
      </c>
      <c r="AA21" s="1860">
        <v>3786.7035387960195</v>
      </c>
      <c r="AB21" s="1863">
        <v>9672.0583394240984</v>
      </c>
    </row>
    <row r="22" spans="1:28" x14ac:dyDescent="0.25">
      <c r="A22" s="1856" t="s">
        <v>1570</v>
      </c>
      <c r="B22" s="1859"/>
      <c r="C22" s="1859"/>
      <c r="D22" s="1859">
        <v>26.424236350000001</v>
      </c>
      <c r="E22" s="1859">
        <v>22.536014555000001</v>
      </c>
      <c r="F22" s="1859"/>
      <c r="G22" s="1859">
        <v>9.3735652706218406</v>
      </c>
      <c r="H22" s="1859"/>
      <c r="I22" s="1859"/>
      <c r="J22" s="1859">
        <v>0.31480736009091637</v>
      </c>
      <c r="K22" s="1859">
        <v>1.7218422087907597</v>
      </c>
      <c r="L22" s="1859"/>
      <c r="M22" s="1859"/>
      <c r="N22" s="1859"/>
      <c r="O22" s="1859">
        <v>28.951311</v>
      </c>
      <c r="P22" s="1859"/>
      <c r="Q22" s="1859">
        <v>25.825994237066851</v>
      </c>
      <c r="R22" s="1859"/>
      <c r="S22" s="1859"/>
      <c r="T22" s="1859"/>
      <c r="U22" s="1859"/>
      <c r="V22" s="1859"/>
      <c r="W22" s="1859">
        <v>300.96017118078265</v>
      </c>
      <c r="X22" s="1859"/>
      <c r="Y22" s="1859"/>
      <c r="Z22" s="1860">
        <v>26.739043710090918</v>
      </c>
      <c r="AA22" s="1860">
        <v>389.3688984522621</v>
      </c>
      <c r="AB22" s="1863">
        <v>416.10794216235297</v>
      </c>
    </row>
    <row r="23" spans="1:28" x14ac:dyDescent="0.25">
      <c r="A23" s="1856" t="s">
        <v>1585</v>
      </c>
      <c r="B23" s="1859"/>
      <c r="C23" s="1859"/>
      <c r="D23" s="1859">
        <v>0.42459100000000005</v>
      </c>
      <c r="E23" s="1859"/>
      <c r="F23" s="1859"/>
      <c r="G23" s="1859"/>
      <c r="H23" s="1859"/>
      <c r="I23" s="1859"/>
      <c r="J23" s="1859"/>
      <c r="K23" s="1859"/>
      <c r="L23" s="1859"/>
      <c r="M23" s="1859"/>
      <c r="N23" s="1859">
        <v>48.973967999999999</v>
      </c>
      <c r="O23" s="1859"/>
      <c r="P23" s="1859">
        <v>0.48013299999999998</v>
      </c>
      <c r="Q23" s="1859"/>
      <c r="R23" s="1859"/>
      <c r="S23" s="1859"/>
      <c r="T23" s="1859">
        <v>48.873327000000003</v>
      </c>
      <c r="U23" s="1859"/>
      <c r="V23" s="1859"/>
      <c r="W23" s="1859"/>
      <c r="X23" s="1859"/>
      <c r="Y23" s="1859"/>
      <c r="Z23" s="1860">
        <v>98.75201899999999</v>
      </c>
      <c r="AA23" s="1860"/>
      <c r="AB23" s="1863">
        <v>98.75201899999999</v>
      </c>
    </row>
    <row r="24" spans="1:28" x14ac:dyDescent="0.25">
      <c r="A24" s="1856" t="s">
        <v>1571</v>
      </c>
      <c r="B24" s="1859"/>
      <c r="C24" s="1859"/>
      <c r="D24" s="1859">
        <v>224.3740630441506</v>
      </c>
      <c r="E24" s="1859">
        <v>155.66512326590879</v>
      </c>
      <c r="F24" s="1859"/>
      <c r="G24" s="1859">
        <v>441.59643499000003</v>
      </c>
      <c r="H24" s="1859"/>
      <c r="I24" s="1859"/>
      <c r="J24" s="1859"/>
      <c r="K24" s="1859">
        <v>10.2706218435954</v>
      </c>
      <c r="L24" s="1859"/>
      <c r="M24" s="1859"/>
      <c r="N24" s="1859">
        <v>1.0840000000000001E-3</v>
      </c>
      <c r="O24" s="1859">
        <v>0.53712099999999996</v>
      </c>
      <c r="P24" s="1859">
        <v>9.1300000000000008</v>
      </c>
      <c r="Q24" s="1859">
        <v>5.6183747385604201</v>
      </c>
      <c r="R24" s="1859"/>
      <c r="S24" s="1859">
        <v>26.950000000000003</v>
      </c>
      <c r="T24" s="1859">
        <v>2.34</v>
      </c>
      <c r="U24" s="1859"/>
      <c r="V24" s="1859">
        <v>69.504748785747068</v>
      </c>
      <c r="W24" s="1859">
        <v>205.38395389475863</v>
      </c>
      <c r="X24" s="1859"/>
      <c r="Y24" s="1859">
        <v>9.6714549999999999</v>
      </c>
      <c r="Z24" s="1860">
        <v>305.34989582989772</v>
      </c>
      <c r="AA24" s="1860">
        <v>855.69308473282331</v>
      </c>
      <c r="AB24" s="1863">
        <v>1161.0429805627209</v>
      </c>
    </row>
    <row r="25" spans="1:28" x14ac:dyDescent="0.25">
      <c r="A25" s="1856" t="s">
        <v>1572</v>
      </c>
      <c r="B25" s="1859"/>
      <c r="C25" s="1859"/>
      <c r="D25" s="1859">
        <v>331.07945023242911</v>
      </c>
      <c r="E25" s="1859">
        <v>214.88615767915124</v>
      </c>
      <c r="F25" s="1859">
        <v>59.697463085395086</v>
      </c>
      <c r="G25" s="1859">
        <v>2219.5396908968251</v>
      </c>
      <c r="H25" s="1859">
        <v>15.129999999999999</v>
      </c>
      <c r="I25" s="1859"/>
      <c r="J25" s="1859"/>
      <c r="K25" s="1859">
        <v>20</v>
      </c>
      <c r="L25" s="1859"/>
      <c r="M25" s="1859"/>
      <c r="N25" s="1859">
        <v>25.484595055399701</v>
      </c>
      <c r="O25" s="1859">
        <v>169.32554699999997</v>
      </c>
      <c r="P25" s="1859">
        <v>147.02144100000001</v>
      </c>
      <c r="Q25" s="1859">
        <v>30.198011999999999</v>
      </c>
      <c r="R25" s="1859"/>
      <c r="S25" s="1859"/>
      <c r="T25" s="1859">
        <v>626.09576100000004</v>
      </c>
      <c r="U25" s="1859">
        <v>66.151347000000001</v>
      </c>
      <c r="V25" s="1859"/>
      <c r="W25" s="1859">
        <v>40.294266183976497</v>
      </c>
      <c r="X25" s="1859"/>
      <c r="Y25" s="1859">
        <v>1.0884659999999999</v>
      </c>
      <c r="Z25" s="1860">
        <v>1204.5087103732239</v>
      </c>
      <c r="AA25" s="1860">
        <v>2761.4834867599525</v>
      </c>
      <c r="AB25" s="1863">
        <v>3965.9921971331773</v>
      </c>
    </row>
    <row r="26" spans="1:28" x14ac:dyDescent="0.25">
      <c r="A26" s="1856" t="s">
        <v>1574</v>
      </c>
      <c r="B26" s="1859"/>
      <c r="C26" s="1859"/>
      <c r="D26" s="1859">
        <v>117.27301299999999</v>
      </c>
      <c r="E26" s="1859">
        <v>170.53825965171285</v>
      </c>
      <c r="F26" s="1859">
        <v>311.138552</v>
      </c>
      <c r="G26" s="1859">
        <v>532.51550919269243</v>
      </c>
      <c r="H26" s="1859"/>
      <c r="I26" s="1859"/>
      <c r="J26" s="1859"/>
      <c r="K26" s="1859"/>
      <c r="L26" s="1859"/>
      <c r="M26" s="1859"/>
      <c r="N26" s="1859">
        <v>6.2730249999999996</v>
      </c>
      <c r="O26" s="1859"/>
      <c r="P26" s="1859">
        <v>42.673554847999768</v>
      </c>
      <c r="Q26" s="1859">
        <v>324.30404453765141</v>
      </c>
      <c r="R26" s="1859"/>
      <c r="S26" s="1859">
        <v>79.201955597659193</v>
      </c>
      <c r="T26" s="1859">
        <v>387.38839199999995</v>
      </c>
      <c r="U26" s="1859"/>
      <c r="V26" s="1859"/>
      <c r="W26" s="1859">
        <v>574.71080500046219</v>
      </c>
      <c r="X26" s="1859"/>
      <c r="Y26" s="1859"/>
      <c r="Z26" s="1860">
        <v>864.74653684799978</v>
      </c>
      <c r="AA26" s="1860">
        <v>1681.2705739801779</v>
      </c>
      <c r="AB26" s="1863">
        <v>2546.0171108281779</v>
      </c>
    </row>
    <row r="27" spans="1:28" x14ac:dyDescent="0.25">
      <c r="A27" s="1856" t="s">
        <v>1575</v>
      </c>
      <c r="B27" s="1859"/>
      <c r="C27" s="1859"/>
      <c r="D27" s="1859">
        <v>237.61666053996834</v>
      </c>
      <c r="E27" s="1859">
        <v>10.323167349168386</v>
      </c>
      <c r="F27" s="1859">
        <v>0.21101030454521999</v>
      </c>
      <c r="G27" s="1859">
        <v>543.90458698193447</v>
      </c>
      <c r="H27" s="1859"/>
      <c r="I27" s="1859"/>
      <c r="J27" s="1859"/>
      <c r="K27" s="1859"/>
      <c r="L27" s="1859"/>
      <c r="M27" s="1859"/>
      <c r="N27" s="1859"/>
      <c r="O27" s="1859">
        <v>4.87</v>
      </c>
      <c r="P27" s="1859">
        <v>46.339999999999996</v>
      </c>
      <c r="Q27" s="1859">
        <v>0.40174973218384002</v>
      </c>
      <c r="R27" s="1859"/>
      <c r="S27" s="1859"/>
      <c r="T27" s="1859"/>
      <c r="U27" s="1859"/>
      <c r="V27" s="1859"/>
      <c r="W27" s="1859">
        <v>1.4283528029999999</v>
      </c>
      <c r="X27" s="1859"/>
      <c r="Y27" s="1859"/>
      <c r="Z27" s="1860">
        <v>284.16767084451357</v>
      </c>
      <c r="AA27" s="1860">
        <v>560.92785686628679</v>
      </c>
      <c r="AB27" s="1863">
        <v>845.0955277108003</v>
      </c>
    </row>
    <row r="28" spans="1:28" x14ac:dyDescent="0.25">
      <c r="A28" s="1856" t="s">
        <v>1576</v>
      </c>
      <c r="B28" s="1859"/>
      <c r="C28" s="1859"/>
      <c r="D28" s="1859">
        <v>73.301726000000002</v>
      </c>
      <c r="E28" s="1859"/>
      <c r="F28" s="1859"/>
      <c r="G28" s="1859"/>
      <c r="H28" s="1859"/>
      <c r="I28" s="1859"/>
      <c r="J28" s="1859"/>
      <c r="K28" s="1859"/>
      <c r="L28" s="1859"/>
      <c r="M28" s="1859"/>
      <c r="N28" s="1859"/>
      <c r="O28" s="1859"/>
      <c r="P28" s="1859"/>
      <c r="Q28" s="1859"/>
      <c r="R28" s="1859"/>
      <c r="S28" s="1859"/>
      <c r="T28" s="1859">
        <v>1133.3014989999999</v>
      </c>
      <c r="U28" s="1859"/>
      <c r="V28" s="1859"/>
      <c r="W28" s="1859"/>
      <c r="X28" s="1859"/>
      <c r="Y28" s="1859"/>
      <c r="Z28" s="1860">
        <v>1206.6032249999998</v>
      </c>
      <c r="AA28" s="1860"/>
      <c r="AB28" s="1863">
        <v>1206.6032249999998</v>
      </c>
    </row>
    <row r="29" spans="1:28" x14ac:dyDescent="0.25">
      <c r="A29" s="1856" t="s">
        <v>1577</v>
      </c>
      <c r="B29" s="1859"/>
      <c r="C29" s="1859"/>
      <c r="D29" s="1859">
        <v>1512.9020977609475</v>
      </c>
      <c r="E29" s="1859">
        <v>693.64935677414201</v>
      </c>
      <c r="F29" s="1859">
        <v>412.056003562618</v>
      </c>
      <c r="G29" s="1859">
        <v>5320.0492062462454</v>
      </c>
      <c r="H29" s="1859"/>
      <c r="I29" s="1859"/>
      <c r="J29" s="1859">
        <v>4.8069999999999996E-3</v>
      </c>
      <c r="K29" s="1859">
        <v>6.2783420000000003</v>
      </c>
      <c r="L29" s="1859">
        <v>153.559544722</v>
      </c>
      <c r="M29" s="1859">
        <v>0.245694466</v>
      </c>
      <c r="N29" s="1859"/>
      <c r="O29" s="1859">
        <v>28.521583000000003</v>
      </c>
      <c r="P29" s="1859">
        <v>847.28487700000005</v>
      </c>
      <c r="Q29" s="1859">
        <v>51.450808522709337</v>
      </c>
      <c r="R29" s="1859"/>
      <c r="S29" s="1859">
        <v>1489.6467098420001</v>
      </c>
      <c r="T29" s="1859">
        <v>10.406471</v>
      </c>
      <c r="U29" s="1859">
        <v>203.77836655863894</v>
      </c>
      <c r="V29" s="1859">
        <v>11.120000000000001</v>
      </c>
      <c r="W29" s="1859">
        <v>420.97813656673247</v>
      </c>
      <c r="X29" s="1859"/>
      <c r="Y29" s="1859">
        <v>26.191181</v>
      </c>
      <c r="Z29" s="1860">
        <v>2947.3338010455655</v>
      </c>
      <c r="AA29" s="1860">
        <v>8240.7893849764696</v>
      </c>
      <c r="AB29" s="1863">
        <v>11188.123186022036</v>
      </c>
    </row>
    <row r="30" spans="1:28" x14ac:dyDescent="0.25">
      <c r="A30" s="1856" t="s">
        <v>1578</v>
      </c>
      <c r="B30" s="1859"/>
      <c r="C30" s="1859"/>
      <c r="D30" s="1859">
        <v>44.466583364186256</v>
      </c>
      <c r="E30" s="1859">
        <v>25.311149499193242</v>
      </c>
      <c r="F30" s="1859"/>
      <c r="G30" s="1859"/>
      <c r="H30" s="1859"/>
      <c r="I30" s="1859"/>
      <c r="J30" s="1859"/>
      <c r="K30" s="1859">
        <v>2.6410670000000001</v>
      </c>
      <c r="L30" s="1859"/>
      <c r="M30" s="1859"/>
      <c r="N30" s="1859">
        <v>0.55642199999999997</v>
      </c>
      <c r="O30" s="1859">
        <v>16.571857000000001</v>
      </c>
      <c r="P30" s="1859">
        <v>22.684985000000001</v>
      </c>
      <c r="Q30" s="1859">
        <v>15.147881999999999</v>
      </c>
      <c r="R30" s="1859"/>
      <c r="S30" s="1859"/>
      <c r="T30" s="1859">
        <v>35.927885000000003</v>
      </c>
      <c r="U30" s="1859">
        <v>65.265029999999996</v>
      </c>
      <c r="V30" s="1859"/>
      <c r="W30" s="1859"/>
      <c r="X30" s="1859"/>
      <c r="Y30" s="1859"/>
      <c r="Z30" s="1860">
        <v>103.63587536418626</v>
      </c>
      <c r="AA30" s="1860">
        <v>124.93698549919324</v>
      </c>
      <c r="AB30" s="1863">
        <v>228.5728608633795</v>
      </c>
    </row>
    <row r="31" spans="1:28" x14ac:dyDescent="0.25">
      <c r="A31" s="1856" t="s">
        <v>1579</v>
      </c>
      <c r="B31" s="1859"/>
      <c r="C31" s="1859"/>
      <c r="D31" s="1859">
        <v>32.026504499260312</v>
      </c>
      <c r="E31" s="1859">
        <v>7.443485446695643</v>
      </c>
      <c r="F31" s="1859">
        <v>223.06911200000002</v>
      </c>
      <c r="G31" s="1859">
        <v>603.34564699999999</v>
      </c>
      <c r="H31" s="1859"/>
      <c r="I31" s="1859"/>
      <c r="J31" s="1859">
        <v>64.690000000000012</v>
      </c>
      <c r="K31" s="1859"/>
      <c r="L31" s="1859"/>
      <c r="M31" s="1859"/>
      <c r="N31" s="1859">
        <v>54.501603000000003</v>
      </c>
      <c r="O31" s="1859">
        <v>13.155082</v>
      </c>
      <c r="P31" s="1859"/>
      <c r="Q31" s="1859"/>
      <c r="R31" s="1859"/>
      <c r="S31" s="1859"/>
      <c r="T31" s="1859">
        <v>18.819999999999997</v>
      </c>
      <c r="U31" s="1859"/>
      <c r="V31" s="1859"/>
      <c r="W31" s="1859"/>
      <c r="X31" s="1859">
        <v>0.70733400000000013</v>
      </c>
      <c r="Y31" s="1859">
        <v>17.107609000000004</v>
      </c>
      <c r="Z31" s="1860">
        <v>393.81455349926034</v>
      </c>
      <c r="AA31" s="1860">
        <v>641.05182344669572</v>
      </c>
      <c r="AB31" s="1863">
        <v>1034.8663769459558</v>
      </c>
    </row>
    <row r="32" spans="1:28" x14ac:dyDescent="0.25">
      <c r="A32" s="1856" t="s">
        <v>2627</v>
      </c>
      <c r="B32" s="1859"/>
      <c r="C32" s="1859"/>
      <c r="D32" s="1859"/>
      <c r="E32" s="1859"/>
      <c r="F32" s="1859"/>
      <c r="G32" s="1859"/>
      <c r="H32" s="1859"/>
      <c r="I32" s="1859"/>
      <c r="J32" s="1859"/>
      <c r="K32" s="1859"/>
      <c r="L32" s="1859"/>
      <c r="M32" s="1859"/>
      <c r="N32" s="1859"/>
      <c r="O32" s="1859"/>
      <c r="P32" s="1859"/>
      <c r="Q32" s="1859"/>
      <c r="R32" s="1859"/>
      <c r="S32" s="1859"/>
      <c r="T32" s="1859">
        <v>12.135755039120859</v>
      </c>
      <c r="U32" s="1859"/>
      <c r="V32" s="1859"/>
      <c r="W32" s="1859"/>
      <c r="X32" s="1859"/>
      <c r="Y32" s="1859"/>
      <c r="Z32" s="1860">
        <v>12.135755039120859</v>
      </c>
      <c r="AA32" s="1860"/>
      <c r="AB32" s="1863">
        <v>12.135755039120859</v>
      </c>
    </row>
    <row r="33" spans="1:28" x14ac:dyDescent="0.25">
      <c r="A33" s="1856" t="s">
        <v>2628</v>
      </c>
      <c r="B33" s="1859"/>
      <c r="C33" s="1859"/>
      <c r="D33" s="1859"/>
      <c r="E33" s="1859"/>
      <c r="F33" s="1859"/>
      <c r="G33" s="1859"/>
      <c r="H33" s="1859">
        <v>0.98000000000000009</v>
      </c>
      <c r="I33" s="1859"/>
      <c r="J33" s="1859"/>
      <c r="K33" s="1859"/>
      <c r="L33" s="1859"/>
      <c r="M33" s="1859"/>
      <c r="N33" s="1859"/>
      <c r="O33" s="1859"/>
      <c r="P33" s="1859"/>
      <c r="Q33" s="1859"/>
      <c r="R33" s="1859"/>
      <c r="S33" s="1859"/>
      <c r="T33" s="1859">
        <v>4.57</v>
      </c>
      <c r="U33" s="1859"/>
      <c r="V33" s="1859"/>
      <c r="W33" s="1859"/>
      <c r="X33" s="1859"/>
      <c r="Y33" s="1859"/>
      <c r="Z33" s="1860">
        <v>5.55</v>
      </c>
      <c r="AA33" s="1860"/>
      <c r="AB33" s="1863">
        <v>5.55</v>
      </c>
    </row>
    <row r="34" spans="1:28" x14ac:dyDescent="0.25">
      <c r="A34" s="1856" t="s">
        <v>2629</v>
      </c>
      <c r="B34" s="1859"/>
      <c r="C34" s="1859"/>
      <c r="D34" s="1859"/>
      <c r="E34" s="1859"/>
      <c r="F34" s="1859"/>
      <c r="G34" s="1859"/>
      <c r="H34" s="1859">
        <v>1347</v>
      </c>
      <c r="I34" s="1859"/>
      <c r="J34" s="1859"/>
      <c r="K34" s="1859"/>
      <c r="L34" s="1859">
        <v>239.53379086999999</v>
      </c>
      <c r="M34" s="1859"/>
      <c r="N34" s="1859"/>
      <c r="O34" s="1859"/>
      <c r="P34" s="1859">
        <v>171.230924316</v>
      </c>
      <c r="Q34" s="1859"/>
      <c r="R34" s="1859"/>
      <c r="S34" s="1859"/>
      <c r="T34" s="1859">
        <v>744.71872671799997</v>
      </c>
      <c r="U34" s="1859"/>
      <c r="V34" s="1859"/>
      <c r="W34" s="1859"/>
      <c r="X34" s="1859"/>
      <c r="Y34" s="1859"/>
      <c r="Z34" s="1860">
        <v>2502.4834419039998</v>
      </c>
      <c r="AA34" s="1860"/>
      <c r="AB34" s="1863">
        <v>2502.4834419039998</v>
      </c>
    </row>
    <row r="35" spans="1:28" x14ac:dyDescent="0.25">
      <c r="A35" s="1856" t="s">
        <v>2630</v>
      </c>
      <c r="B35" s="1859"/>
      <c r="C35" s="1859"/>
      <c r="D35" s="1859"/>
      <c r="E35" s="1859"/>
      <c r="F35" s="1859"/>
      <c r="G35" s="1859"/>
      <c r="H35" s="1859">
        <v>428.07088541600001</v>
      </c>
      <c r="I35" s="1859">
        <v>34.983007960999998</v>
      </c>
      <c r="J35" s="1859"/>
      <c r="K35" s="1859"/>
      <c r="L35" s="1859"/>
      <c r="M35" s="1859"/>
      <c r="N35" s="1859"/>
      <c r="O35" s="1859"/>
      <c r="P35" s="1859">
        <v>79.84</v>
      </c>
      <c r="Q35" s="1859">
        <v>17.267696260889707</v>
      </c>
      <c r="R35" s="1859"/>
      <c r="S35" s="1859">
        <v>1.3776559710248399</v>
      </c>
      <c r="T35" s="1859">
        <v>82.320000000000007</v>
      </c>
      <c r="U35" s="1859"/>
      <c r="V35" s="1859"/>
      <c r="W35" s="1859"/>
      <c r="X35" s="1859"/>
      <c r="Y35" s="1859"/>
      <c r="Z35" s="1860">
        <v>590.23088541599998</v>
      </c>
      <c r="AA35" s="1860">
        <v>53.628360192914542</v>
      </c>
      <c r="AB35" s="1863">
        <v>643.85924560891465</v>
      </c>
    </row>
    <row r="36" spans="1:28" x14ac:dyDescent="0.25">
      <c r="A36" s="1858" t="s">
        <v>334</v>
      </c>
      <c r="B36" s="1863">
        <v>132.35769500000001</v>
      </c>
      <c r="C36" s="1863"/>
      <c r="D36" s="1863">
        <v>10259.989007240056</v>
      </c>
      <c r="E36" s="1863">
        <v>6260.2287305549853</v>
      </c>
      <c r="F36" s="1863">
        <v>2887.1452919525582</v>
      </c>
      <c r="G36" s="1863">
        <v>16761.596414888932</v>
      </c>
      <c r="H36" s="1863">
        <v>1791.6608854159999</v>
      </c>
      <c r="I36" s="1863">
        <v>34.983007960999998</v>
      </c>
      <c r="J36" s="1863">
        <v>146.78116136380331</v>
      </c>
      <c r="K36" s="1863">
        <v>633.94465104453491</v>
      </c>
      <c r="L36" s="1863">
        <v>760.58034446300007</v>
      </c>
      <c r="M36" s="1863">
        <v>0.26160366400000001</v>
      </c>
      <c r="N36" s="1863">
        <v>479.8444431220222</v>
      </c>
      <c r="O36" s="1863">
        <v>1123.0804450000001</v>
      </c>
      <c r="P36" s="1863">
        <v>8369.1258840971914</v>
      </c>
      <c r="Q36" s="1863">
        <v>1345.5281211351116</v>
      </c>
      <c r="R36" s="1863">
        <v>1854.3132293857066</v>
      </c>
      <c r="S36" s="1863">
        <v>2044.772920753268</v>
      </c>
      <c r="T36" s="1863">
        <v>5553.3205755600238</v>
      </c>
      <c r="U36" s="1863">
        <v>2406.9677397652736</v>
      </c>
      <c r="V36" s="1863">
        <v>1262.3264610890378</v>
      </c>
      <c r="W36" s="1863">
        <v>4263.6720115887529</v>
      </c>
      <c r="X36" s="1863">
        <v>18.600511999999998</v>
      </c>
      <c r="Y36" s="1863">
        <v>657.10562537198393</v>
      </c>
      <c r="Z36" s="1863">
        <v>33516.045490689401</v>
      </c>
      <c r="AA36" s="1863">
        <v>35532.141271727844</v>
      </c>
      <c r="AB36" s="1863">
        <v>69048.186762417245</v>
      </c>
    </row>
    <row r="37" spans="1:28" ht="59.25" customHeight="1" x14ac:dyDescent="0.25">
      <c r="A37" s="3110" t="s">
        <v>2842</v>
      </c>
      <c r="B37" s="3111"/>
      <c r="C37" s="3111"/>
      <c r="D37" s="3111"/>
      <c r="E37" s="3111"/>
      <c r="F37" s="3111"/>
      <c r="G37" s="3111"/>
      <c r="H37" s="3111"/>
      <c r="I37" s="3111"/>
      <c r="J37" s="3111"/>
      <c r="K37" s="3111"/>
      <c r="L37" s="3111"/>
      <c r="M37" s="3111"/>
      <c r="N37" s="3111"/>
      <c r="O37" s="3111"/>
      <c r="P37" s="3111"/>
      <c r="Q37" s="3111"/>
      <c r="R37" s="3111"/>
      <c r="S37" s="3111"/>
      <c r="T37" s="3111"/>
      <c r="U37" s="3111"/>
      <c r="V37" s="3111"/>
      <c r="W37" s="3111"/>
      <c r="X37" s="3111"/>
      <c r="Y37" s="3111"/>
      <c r="Z37" s="3111"/>
      <c r="AA37" s="3111"/>
      <c r="AB37" s="3112"/>
    </row>
  </sheetData>
  <mergeCells count="16">
    <mergeCell ref="A2:AB2"/>
    <mergeCell ref="X4:Y4"/>
    <mergeCell ref="Z4:AB4"/>
    <mergeCell ref="A37:AB37"/>
    <mergeCell ref="L4:M4"/>
    <mergeCell ref="N4:O4"/>
    <mergeCell ref="P4:Q4"/>
    <mergeCell ref="R4:S4"/>
    <mergeCell ref="T4:U4"/>
    <mergeCell ref="V4:W4"/>
    <mergeCell ref="B4:C4"/>
    <mergeCell ref="D4:E4"/>
    <mergeCell ref="F4:G4"/>
    <mergeCell ref="H4:I4"/>
    <mergeCell ref="J4:K4"/>
    <mergeCell ref="A4:A5"/>
  </mergeCells>
  <pageMargins left="0.70866141732283472" right="0.70866141732283472" top="0.74803149606299213" bottom="0.74803149606299213" header="0.31496062992125984" footer="0.31496062992125984"/>
  <pageSetup scale="39" orientation="landscape" horizontalDpi="300" verticalDpi="300"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F5DC08-CFA3-4796-8AB5-D8F1C1877E95}">
  <sheetPr codeName="Sheet41">
    <tabColor theme="0"/>
    <pageSetUpPr fitToPage="1"/>
  </sheetPr>
  <dimension ref="B1:B64"/>
  <sheetViews>
    <sheetView showGridLines="0" view="pageLayout" zoomScale="85" zoomScaleNormal="100" zoomScalePageLayoutView="85" workbookViewId="0">
      <selection activeCell="B81" sqref="B81"/>
    </sheetView>
  </sheetViews>
  <sheetFormatPr defaultColWidth="9.140625" defaultRowHeight="15.75" x14ac:dyDescent="0.25"/>
  <cols>
    <col min="1" max="1" width="3.5703125" style="880" customWidth="1"/>
    <col min="2" max="2" width="137.140625" style="880" customWidth="1"/>
    <col min="3" max="16384" width="9.140625" style="880"/>
  </cols>
  <sheetData>
    <row r="1" spans="2:2" ht="16.5" x14ac:dyDescent="0.3">
      <c r="B1" s="1372" t="s">
        <v>992</v>
      </c>
    </row>
    <row r="2" spans="2:2" x14ac:dyDescent="0.25">
      <c r="B2" s="1373" t="s">
        <v>993</v>
      </c>
    </row>
    <row r="3" spans="2:2" ht="45" x14ac:dyDescent="0.25">
      <c r="B3" s="1844" t="s">
        <v>2486</v>
      </c>
    </row>
    <row r="4" spans="2:2" ht="60" x14ac:dyDescent="0.25">
      <c r="B4" s="1845" t="s">
        <v>2815</v>
      </c>
    </row>
    <row r="5" spans="2:2" x14ac:dyDescent="0.25">
      <c r="B5" s="1845" t="s">
        <v>2935</v>
      </c>
    </row>
    <row r="6" spans="2:2" ht="75" x14ac:dyDescent="0.25">
      <c r="B6" s="1845" t="s">
        <v>2816</v>
      </c>
    </row>
    <row r="7" spans="2:2" x14ac:dyDescent="0.25">
      <c r="B7" s="2324" t="s">
        <v>994</v>
      </c>
    </row>
    <row r="8" spans="2:2" x14ac:dyDescent="0.25">
      <c r="B8" s="2324" t="s">
        <v>995</v>
      </c>
    </row>
    <row r="9" spans="2:2" x14ac:dyDescent="0.25">
      <c r="B9" s="1845" t="s">
        <v>2937</v>
      </c>
    </row>
    <row r="10" spans="2:2" x14ac:dyDescent="0.25">
      <c r="B10" s="1846" t="s">
        <v>996</v>
      </c>
    </row>
    <row r="11" spans="2:2" ht="75" x14ac:dyDescent="0.25">
      <c r="B11" s="1845" t="s">
        <v>2759</v>
      </c>
    </row>
    <row r="12" spans="2:2" x14ac:dyDescent="0.25">
      <c r="B12" s="1846" t="s">
        <v>997</v>
      </c>
    </row>
    <row r="13" spans="2:2" ht="60" x14ac:dyDescent="0.25">
      <c r="B13" s="1845" t="s">
        <v>2938</v>
      </c>
    </row>
    <row r="15" spans="2:2" ht="76.5" customHeight="1" x14ac:dyDescent="0.25">
      <c r="B15" s="1454"/>
    </row>
    <row r="64" ht="1.5" customHeight="1" x14ac:dyDescent="0.25"/>
  </sheetData>
  <pageMargins left="0.70866141732283472" right="0.70866141732283472" top="0.74803149606299213" bottom="0.74803149606299213" header="0.31496062992125984" footer="0.31496062992125984"/>
  <pageSetup paperSize="9" scale="62"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3C3AE7-804F-4E49-9814-8943535CABD8}">
  <sheetPr>
    <tabColor theme="0"/>
    <pageSetUpPr fitToPage="1"/>
  </sheetPr>
  <dimension ref="A1:L64"/>
  <sheetViews>
    <sheetView showGridLines="0" view="pageLayout" topLeftCell="B1" zoomScale="50" zoomScaleNormal="90" zoomScalePageLayoutView="50" workbookViewId="0">
      <selection activeCell="B81" sqref="B81"/>
    </sheetView>
  </sheetViews>
  <sheetFormatPr defaultColWidth="9.140625" defaultRowHeight="15.75" x14ac:dyDescent="0.25"/>
  <cols>
    <col min="1" max="1" width="0" style="112" hidden="1" customWidth="1"/>
    <col min="2" max="2" width="8.85546875" style="112" customWidth="1"/>
    <col min="3" max="3" width="19.85546875" style="112" customWidth="1"/>
    <col min="4" max="4" width="26.28515625" style="443" customWidth="1"/>
    <col min="5" max="5" width="13.7109375" style="443" hidden="1" customWidth="1"/>
    <col min="6" max="6" width="9.5703125" style="443" hidden="1" customWidth="1"/>
    <col min="7" max="7" width="9.5703125" style="443" customWidth="1"/>
    <col min="8" max="8" width="11.140625" style="443" customWidth="1"/>
    <col min="9" max="9" width="13.140625" style="443" customWidth="1"/>
    <col min="10" max="11" width="13" style="112" customWidth="1"/>
    <col min="12" max="12" width="14.28515625" style="112" bestFit="1" customWidth="1"/>
    <col min="13" max="13" width="16.42578125" style="112" bestFit="1" customWidth="1"/>
    <col min="14" max="14" width="13.5703125" style="112" bestFit="1" customWidth="1"/>
    <col min="15" max="16384" width="9.140625" style="112"/>
  </cols>
  <sheetData>
    <row r="1" spans="1:12" ht="51.75" customHeight="1" x14ac:dyDescent="0.25">
      <c r="A1" s="444" t="s">
        <v>296</v>
      </c>
      <c r="B1" s="3125" t="s">
        <v>998</v>
      </c>
      <c r="C1" s="3125"/>
      <c r="D1" s="3125"/>
      <c r="E1" s="3125"/>
      <c r="F1" s="3125"/>
      <c r="G1" s="3125"/>
      <c r="H1" s="3125"/>
      <c r="I1" s="3125"/>
      <c r="J1" s="3125"/>
      <c r="K1" s="3125"/>
      <c r="L1" s="3125"/>
    </row>
    <row r="2" spans="1:12" ht="16.5" x14ac:dyDescent="0.25">
      <c r="B2" s="3126"/>
      <c r="C2" s="3126"/>
      <c r="D2" s="3126"/>
      <c r="E2" s="3126"/>
      <c r="F2" s="3126"/>
      <c r="G2" s="3126"/>
      <c r="H2" s="3126"/>
      <c r="I2" s="3126"/>
    </row>
    <row r="3" spans="1:12" ht="37.15" customHeight="1" x14ac:dyDescent="0.25">
      <c r="B3" s="3125" t="s">
        <v>999</v>
      </c>
      <c r="C3" s="3125" t="s">
        <v>2818</v>
      </c>
      <c r="D3" s="2129" t="s">
        <v>2817</v>
      </c>
      <c r="E3" s="2128"/>
      <c r="F3" s="3125" t="s">
        <v>1000</v>
      </c>
      <c r="G3" s="3125"/>
      <c r="H3" s="3125"/>
      <c r="I3" s="3125"/>
      <c r="J3" s="3125"/>
      <c r="K3" s="3125"/>
      <c r="L3" s="3125"/>
    </row>
    <row r="4" spans="1:12" ht="30" customHeight="1" x14ac:dyDescent="0.25">
      <c r="B4" s="3125"/>
      <c r="C4" s="3125"/>
      <c r="D4" s="2340" t="s">
        <v>2819</v>
      </c>
      <c r="E4" s="430">
        <v>2025</v>
      </c>
      <c r="F4" s="430" t="s">
        <v>8</v>
      </c>
      <c r="G4" s="431" t="s">
        <v>9</v>
      </c>
      <c r="H4" s="430" t="s">
        <v>77</v>
      </c>
      <c r="I4" s="430" t="s">
        <v>11</v>
      </c>
      <c r="J4" s="430" t="s">
        <v>382</v>
      </c>
      <c r="K4" s="432" t="s">
        <v>2309</v>
      </c>
      <c r="L4" s="31" t="s">
        <v>2479</v>
      </c>
    </row>
    <row r="5" spans="1:12" ht="20.25" customHeight="1" x14ac:dyDescent="0.25">
      <c r="B5" s="433">
        <v>1</v>
      </c>
      <c r="C5" s="434" t="s">
        <v>1003</v>
      </c>
      <c r="D5" s="435">
        <v>6</v>
      </c>
      <c r="E5" s="435">
        <v>6</v>
      </c>
      <c r="F5" s="435">
        <v>6.5155330000000005</v>
      </c>
      <c r="G5" s="435">
        <v>5.4692189999999981</v>
      </c>
      <c r="H5" s="435">
        <v>5.6196630000000001</v>
      </c>
      <c r="I5" s="435">
        <v>6.7853879999999993</v>
      </c>
      <c r="J5" s="435">
        <v>6.617697999999999</v>
      </c>
      <c r="K5" s="867">
        <v>6.5132580000000031</v>
      </c>
      <c r="L5" s="216">
        <v>6.3801769999999998</v>
      </c>
    </row>
    <row r="6" spans="1:12" ht="20.25" customHeight="1" x14ac:dyDescent="0.25">
      <c r="B6" s="433">
        <v>2</v>
      </c>
      <c r="C6" s="434" t="s">
        <v>1004</v>
      </c>
      <c r="D6" s="435">
        <v>13.7</v>
      </c>
      <c r="E6" s="435">
        <v>13.7</v>
      </c>
      <c r="F6" s="435">
        <v>13.074744000000001</v>
      </c>
      <c r="G6" s="435">
        <v>11.603050999999999</v>
      </c>
      <c r="H6" s="435">
        <v>13.474105999999999</v>
      </c>
      <c r="I6" s="435">
        <v>15.566898999999998</v>
      </c>
      <c r="J6" s="435">
        <v>15.202188</v>
      </c>
      <c r="K6" s="867">
        <v>15.283046000000008</v>
      </c>
      <c r="L6" s="216">
        <v>13.202133999999997</v>
      </c>
    </row>
    <row r="7" spans="1:12" ht="20.25" customHeight="1" x14ac:dyDescent="0.25">
      <c r="B7" s="433">
        <v>3</v>
      </c>
      <c r="C7" s="434" t="s">
        <v>1005</v>
      </c>
      <c r="D7" s="435">
        <v>8</v>
      </c>
      <c r="E7" s="435">
        <v>8</v>
      </c>
      <c r="F7" s="435">
        <v>6.4632920000000018</v>
      </c>
      <c r="G7" s="435">
        <v>6.7585110000000004</v>
      </c>
      <c r="H7" s="435">
        <v>7.3054589999999999</v>
      </c>
      <c r="I7" s="435">
        <v>8.5064840000000022</v>
      </c>
      <c r="J7" s="435">
        <v>8.0595900000000018</v>
      </c>
      <c r="K7" s="867">
        <v>6.9344959999999976</v>
      </c>
      <c r="L7" s="216">
        <v>8.5072240000000008</v>
      </c>
    </row>
    <row r="8" spans="1:12" ht="20.25" customHeight="1" x14ac:dyDescent="0.25">
      <c r="B8" s="433">
        <v>4</v>
      </c>
      <c r="C8" s="434" t="s">
        <v>1006</v>
      </c>
      <c r="D8" s="435">
        <v>8</v>
      </c>
      <c r="E8" s="435">
        <v>8</v>
      </c>
      <c r="F8" s="435">
        <v>8.9480390000000014</v>
      </c>
      <c r="G8" s="435">
        <v>8.925794999999999</v>
      </c>
      <c r="H8" s="435">
        <v>9.1228440000000006</v>
      </c>
      <c r="I8" s="435">
        <v>9.5730120000000003</v>
      </c>
      <c r="J8" s="435">
        <v>9.1905280000000005</v>
      </c>
      <c r="K8" s="867">
        <v>8.05382</v>
      </c>
      <c r="L8" s="216">
        <v>10.049509000000002</v>
      </c>
    </row>
    <row r="9" spans="1:12" ht="20.25" customHeight="1" x14ac:dyDescent="0.25">
      <c r="B9" s="433">
        <v>5</v>
      </c>
      <c r="C9" s="434" t="s">
        <v>1007</v>
      </c>
      <c r="D9" s="435">
        <v>15</v>
      </c>
      <c r="E9" s="435">
        <v>15</v>
      </c>
      <c r="F9" s="435">
        <v>15.038095999999998</v>
      </c>
      <c r="G9" s="435">
        <v>13.181323000000001</v>
      </c>
      <c r="H9" s="435">
        <v>14.848853999999999</v>
      </c>
      <c r="I9" s="435">
        <v>13.810143</v>
      </c>
      <c r="J9" s="435">
        <v>14.304738</v>
      </c>
      <c r="K9" s="867">
        <v>15.398267999999993</v>
      </c>
      <c r="L9" s="216">
        <v>15.932198999999999</v>
      </c>
    </row>
    <row r="10" spans="1:12" ht="20.25" customHeight="1" x14ac:dyDescent="0.25">
      <c r="B10" s="433">
        <v>6</v>
      </c>
      <c r="C10" s="434" t="s">
        <v>1008</v>
      </c>
      <c r="D10" s="435">
        <v>1.2</v>
      </c>
      <c r="E10" s="435">
        <v>1.2</v>
      </c>
      <c r="F10" s="435">
        <v>0.89240300000000006</v>
      </c>
      <c r="G10" s="435">
        <v>0.84923800000000005</v>
      </c>
      <c r="H10" s="435">
        <v>0.73021500000000006</v>
      </c>
      <c r="I10" s="435">
        <v>1.0796689999999998</v>
      </c>
      <c r="J10" s="435">
        <v>1.0004870000000001</v>
      </c>
      <c r="K10" s="867">
        <v>1.1781999999999988</v>
      </c>
      <c r="L10" s="216">
        <v>1.2914109999999999</v>
      </c>
    </row>
    <row r="11" spans="1:12" ht="20.25" customHeight="1" x14ac:dyDescent="0.25">
      <c r="B11" s="433">
        <v>7</v>
      </c>
      <c r="C11" s="434" t="s">
        <v>1009</v>
      </c>
      <c r="D11" s="436">
        <v>0.65</v>
      </c>
      <c r="E11" s="436">
        <v>0.65</v>
      </c>
      <c r="F11" s="435">
        <v>0.66423299999999996</v>
      </c>
      <c r="G11" s="435">
        <v>0.60510999999999993</v>
      </c>
      <c r="H11" s="435">
        <v>0.70782900000000004</v>
      </c>
      <c r="I11" s="435">
        <v>0.71291900000000008</v>
      </c>
      <c r="J11" s="435">
        <v>0.71021000000000001</v>
      </c>
      <c r="K11" s="867">
        <v>0.77411299999999983</v>
      </c>
      <c r="L11" s="216">
        <v>0.71264799999999995</v>
      </c>
    </row>
    <row r="12" spans="1:12" ht="20.25" customHeight="1" x14ac:dyDescent="0.25">
      <c r="B12" s="433">
        <v>8</v>
      </c>
      <c r="C12" s="434" t="s">
        <v>1010</v>
      </c>
      <c r="D12" s="435">
        <v>2.7</v>
      </c>
      <c r="E12" s="435">
        <v>2.7</v>
      </c>
      <c r="F12" s="435">
        <v>2.0448239999999998</v>
      </c>
      <c r="G12" s="435">
        <v>2.4504609999999998</v>
      </c>
      <c r="H12" s="435">
        <v>2.6385000000000001</v>
      </c>
      <c r="I12" s="435">
        <v>2.7750430000000001</v>
      </c>
      <c r="J12" s="435">
        <v>3.0088640000000004</v>
      </c>
      <c r="K12" s="867">
        <v>2.7720819999999988</v>
      </c>
      <c r="L12" s="216">
        <v>3.0293709999999998</v>
      </c>
    </row>
    <row r="13" spans="1:12" ht="20.25" customHeight="1" x14ac:dyDescent="0.25">
      <c r="B13" s="433">
        <v>9</v>
      </c>
      <c r="C13" s="434" t="s">
        <v>1011</v>
      </c>
      <c r="D13" s="435">
        <v>15</v>
      </c>
      <c r="E13" s="435">
        <v>15</v>
      </c>
      <c r="F13" s="435">
        <v>15.778197999999998</v>
      </c>
      <c r="G13" s="435">
        <v>12.507938999999999</v>
      </c>
      <c r="H13" s="435">
        <v>13.217397999999998</v>
      </c>
      <c r="I13" s="435">
        <v>13.598532999999998</v>
      </c>
      <c r="J13" s="435">
        <v>15.213431999999996</v>
      </c>
      <c r="K13" s="867">
        <v>14.657085999999998</v>
      </c>
      <c r="L13" s="216">
        <v>16.345755</v>
      </c>
    </row>
    <row r="14" spans="1:12" ht="20.25" customHeight="1" x14ac:dyDescent="0.25">
      <c r="B14" s="433"/>
      <c r="C14" s="437" t="s">
        <v>1012</v>
      </c>
      <c r="D14" s="431">
        <v>70.25</v>
      </c>
      <c r="E14" s="431">
        <v>70.25</v>
      </c>
      <c r="F14" s="431">
        <f>SUM(F5:F13)</f>
        <v>69.419362000000007</v>
      </c>
      <c r="G14" s="431">
        <f>SUM(G5:G13)</f>
        <v>62.350646999999995</v>
      </c>
      <c r="H14" s="431">
        <f>SUM(H5:H13)</f>
        <v>67.664867999999998</v>
      </c>
      <c r="I14" s="431">
        <f>SUM(I5:I13)</f>
        <v>72.408090000000001</v>
      </c>
      <c r="J14" s="431">
        <f>SUM(J5:J13)</f>
        <v>73.307734999999994</v>
      </c>
      <c r="K14" s="868">
        <v>71.564368999999999</v>
      </c>
      <c r="L14" s="1129">
        <v>75.450428000000002</v>
      </c>
    </row>
    <row r="15" spans="1:12" ht="14.25" customHeight="1" x14ac:dyDescent="0.25">
      <c r="B15" s="1458">
        <v>10</v>
      </c>
      <c r="C15" s="438" t="s">
        <v>1013</v>
      </c>
      <c r="D15" s="435">
        <v>9.5</v>
      </c>
      <c r="E15" s="435">
        <v>9.5</v>
      </c>
      <c r="F15" s="435">
        <v>8.0651614560000002</v>
      </c>
      <c r="G15" s="435">
        <v>7.3742080799999989</v>
      </c>
      <c r="H15" s="435">
        <v>5.5578519899999996</v>
      </c>
      <c r="I15" s="435">
        <v>9.8043221379999999</v>
      </c>
      <c r="J15" s="435">
        <v>9.6397967090000005</v>
      </c>
      <c r="K15" s="867">
        <v>9.9577972510000006</v>
      </c>
      <c r="L15" s="216">
        <v>10.006691955999999</v>
      </c>
    </row>
    <row r="16" spans="1:12" ht="20.25" customHeight="1" x14ac:dyDescent="0.25">
      <c r="B16" s="433">
        <v>11</v>
      </c>
      <c r="C16" s="439" t="s">
        <v>1014</v>
      </c>
      <c r="D16" s="435">
        <v>15</v>
      </c>
      <c r="E16" s="435">
        <v>15</v>
      </c>
      <c r="F16" s="435">
        <v>9.1150492140000008</v>
      </c>
      <c r="G16" s="435">
        <v>9.0504724879999987</v>
      </c>
      <c r="H16" s="435">
        <v>8.4098301059999994</v>
      </c>
      <c r="I16" s="435">
        <v>9.2866363239999998</v>
      </c>
      <c r="J16" s="435">
        <v>12.688753755999999</v>
      </c>
      <c r="K16" s="867">
        <v>15.309831772999994</v>
      </c>
      <c r="L16" s="216">
        <v>16.036499649</v>
      </c>
    </row>
    <row r="17" spans="2:12" ht="20.25" customHeight="1" x14ac:dyDescent="0.25">
      <c r="B17" s="433">
        <v>12</v>
      </c>
      <c r="C17" s="438" t="s">
        <v>1015</v>
      </c>
      <c r="D17" s="435">
        <v>11.3</v>
      </c>
      <c r="E17" s="435">
        <v>11.3</v>
      </c>
      <c r="F17" s="435">
        <v>12.242064000000001</v>
      </c>
      <c r="G17" s="435">
        <v>10.072002000000001</v>
      </c>
      <c r="H17" s="435">
        <v>13.026753000000003</v>
      </c>
      <c r="I17" s="435">
        <v>12.735301</v>
      </c>
      <c r="J17" s="435">
        <v>12.647938</v>
      </c>
      <c r="K17" s="867">
        <v>13.044806655851481</v>
      </c>
      <c r="L17" s="216">
        <v>11.654181206380061</v>
      </c>
    </row>
    <row r="18" spans="2:12" ht="20.25" customHeight="1" x14ac:dyDescent="0.25">
      <c r="B18" s="433"/>
      <c r="C18" s="437" t="s">
        <v>1016</v>
      </c>
      <c r="D18" s="431">
        <v>35.799999999999997</v>
      </c>
      <c r="E18" s="431">
        <v>35.799999999999997</v>
      </c>
      <c r="F18" s="431">
        <f>SUM(F15:F17)</f>
        <v>29.42227467</v>
      </c>
      <c r="G18" s="431">
        <f>SUM(G15:G17)</f>
        <v>26.496682568000001</v>
      </c>
      <c r="H18" s="431">
        <f>SUM(H15:H17)</f>
        <v>26.994435096000004</v>
      </c>
      <c r="I18" s="431">
        <f>SUM(I15:I17)</f>
        <v>31.826259461999999</v>
      </c>
      <c r="J18" s="431">
        <f>SUM(J15:J17)</f>
        <v>34.976488465000003</v>
      </c>
      <c r="K18" s="868">
        <v>38.312435679851475</v>
      </c>
      <c r="L18" s="1129">
        <v>37.700000000000003</v>
      </c>
    </row>
    <row r="19" spans="2:12" ht="20.25" customHeight="1" x14ac:dyDescent="0.25">
      <c r="B19" s="433">
        <v>13</v>
      </c>
      <c r="C19" s="434" t="s">
        <v>1013</v>
      </c>
      <c r="D19" s="435">
        <v>12</v>
      </c>
      <c r="E19" s="435">
        <v>12</v>
      </c>
      <c r="F19" s="435">
        <v>15.016676031355653</v>
      </c>
      <c r="G19" s="435">
        <v>12.94059506258403</v>
      </c>
      <c r="H19" s="435">
        <v>14.43653833229</v>
      </c>
      <c r="I19" s="435">
        <v>14.546071675514815</v>
      </c>
      <c r="J19" s="435">
        <v>15.051663619674846</v>
      </c>
      <c r="K19" s="867">
        <v>15.529084678354794</v>
      </c>
      <c r="L19" s="216">
        <v>16.042344447000001</v>
      </c>
    </row>
    <row r="20" spans="2:12" ht="20.25" customHeight="1" x14ac:dyDescent="0.25">
      <c r="B20" s="433">
        <v>14</v>
      </c>
      <c r="C20" s="438" t="s">
        <v>882</v>
      </c>
      <c r="D20" s="435">
        <v>15.5</v>
      </c>
      <c r="E20" s="435">
        <v>15.5</v>
      </c>
      <c r="F20" s="435">
        <v>16.515431053641208</v>
      </c>
      <c r="G20" s="435">
        <v>13.281794047050681</v>
      </c>
      <c r="H20" s="435">
        <v>15.40150874152544</v>
      </c>
      <c r="I20" s="435">
        <v>16.016756088999998</v>
      </c>
      <c r="J20" s="435">
        <v>17.314242931999999</v>
      </c>
      <c r="K20" s="867">
        <v>17.193122162999995</v>
      </c>
      <c r="L20" s="216">
        <v>17.559451378000002</v>
      </c>
    </row>
    <row r="21" spans="2:12" ht="20.25" customHeight="1" x14ac:dyDescent="0.25">
      <c r="B21" s="433">
        <v>15</v>
      </c>
      <c r="C21" s="438" t="s">
        <v>1017</v>
      </c>
      <c r="D21" s="435">
        <v>7.8</v>
      </c>
      <c r="E21" s="435">
        <v>7.8</v>
      </c>
      <c r="F21" s="435">
        <v>7.912905905999998</v>
      </c>
      <c r="G21" s="435">
        <v>6.1896299739999998</v>
      </c>
      <c r="H21" s="435">
        <v>7.4097563760000016</v>
      </c>
      <c r="I21" s="435">
        <v>7.8406878840000003</v>
      </c>
      <c r="J21" s="435">
        <v>7.132731315</v>
      </c>
      <c r="K21" s="867">
        <v>7.7088550940000005</v>
      </c>
      <c r="L21" s="216">
        <v>7.3910412789999986</v>
      </c>
    </row>
    <row r="22" spans="2:12" ht="20.25" customHeight="1" x14ac:dyDescent="0.25">
      <c r="B22" s="433"/>
      <c r="C22" s="437" t="s">
        <v>1018</v>
      </c>
      <c r="D22" s="431">
        <v>35.299999999999997</v>
      </c>
      <c r="E22" s="431">
        <v>35.299999999999997</v>
      </c>
      <c r="F22" s="431">
        <f>SUM(F19:F21)</f>
        <v>39.445012990996858</v>
      </c>
      <c r="G22" s="431">
        <f>SUM(G19:G21)</f>
        <v>32.412019083634711</v>
      </c>
      <c r="H22" s="431">
        <f>SUM(H19:H21)</f>
        <v>37.247803449815443</v>
      </c>
      <c r="I22" s="431">
        <f>SUM(I19:I21)</f>
        <v>38.403515648514812</v>
      </c>
      <c r="J22" s="431">
        <f>SUM(J19:J21)</f>
        <v>39.498637866674848</v>
      </c>
      <c r="K22" s="868">
        <v>40.431061935354791</v>
      </c>
      <c r="L22" s="1129">
        <v>40.992837103999996</v>
      </c>
    </row>
    <row r="23" spans="2:12" ht="20.25" customHeight="1" x14ac:dyDescent="0.25">
      <c r="B23" s="433">
        <v>16</v>
      </c>
      <c r="C23" s="439" t="s">
        <v>1019</v>
      </c>
      <c r="D23" s="435">
        <v>10.5</v>
      </c>
      <c r="E23" s="435">
        <v>10.5</v>
      </c>
      <c r="F23" s="435">
        <v>10.16063682481</v>
      </c>
      <c r="G23" s="435">
        <v>8.2428904799999998</v>
      </c>
      <c r="H23" s="435">
        <v>9.0404193379999995</v>
      </c>
      <c r="I23" s="435">
        <v>11.315721772000002</v>
      </c>
      <c r="J23" s="435">
        <v>11.642126166000001</v>
      </c>
      <c r="K23" s="867">
        <v>10.453710478899998</v>
      </c>
      <c r="L23" s="216">
        <v>11.709717804000004</v>
      </c>
    </row>
    <row r="24" spans="2:12" ht="20.25" customHeight="1" x14ac:dyDescent="0.25">
      <c r="B24" s="433">
        <v>17</v>
      </c>
      <c r="C24" s="439" t="s">
        <v>1020</v>
      </c>
      <c r="D24" s="435">
        <v>0</v>
      </c>
      <c r="E24" s="435">
        <v>0</v>
      </c>
      <c r="F24" s="435">
        <v>0</v>
      </c>
      <c r="G24" s="435">
        <v>0</v>
      </c>
      <c r="H24" s="435">
        <v>0</v>
      </c>
      <c r="I24" s="435">
        <v>0</v>
      </c>
      <c r="J24" s="435">
        <v>0</v>
      </c>
      <c r="K24" s="867">
        <v>0</v>
      </c>
      <c r="L24" s="216">
        <v>0</v>
      </c>
    </row>
    <row r="25" spans="2:12" ht="20.25" customHeight="1" x14ac:dyDescent="0.25">
      <c r="B25" s="433"/>
      <c r="C25" s="437" t="s">
        <v>1021</v>
      </c>
      <c r="D25" s="431">
        <v>10.5</v>
      </c>
      <c r="E25" s="431">
        <v>10.5</v>
      </c>
      <c r="F25" s="431">
        <f>SUM(F23:F24)</f>
        <v>10.16063682481</v>
      </c>
      <c r="G25" s="431">
        <f>SUM(G23:G24)</f>
        <v>8.2428904799999998</v>
      </c>
      <c r="H25" s="431">
        <f>SUM(H23:H24)</f>
        <v>9.0404193379999995</v>
      </c>
      <c r="I25" s="431">
        <f>SUM(I23:I24)</f>
        <v>11.315721772000002</v>
      </c>
      <c r="J25" s="431">
        <f>SUM(J23:J24)</f>
        <v>11.642126166000001</v>
      </c>
      <c r="K25" s="868">
        <v>10.453710478899998</v>
      </c>
      <c r="L25" s="1129">
        <v>11.709717804000004</v>
      </c>
    </row>
    <row r="26" spans="2:12" ht="20.25" customHeight="1" x14ac:dyDescent="0.25">
      <c r="B26" s="433">
        <v>18</v>
      </c>
      <c r="C26" s="439" t="s">
        <v>1022</v>
      </c>
      <c r="D26" s="435">
        <v>3</v>
      </c>
      <c r="E26" s="435">
        <v>3</v>
      </c>
      <c r="F26" s="435">
        <v>2.3833387883169999</v>
      </c>
      <c r="G26" s="435">
        <v>2.7073533599889998</v>
      </c>
      <c r="H26" s="435">
        <v>2.6244092480779999</v>
      </c>
      <c r="I26" s="435">
        <v>3.091364345473</v>
      </c>
      <c r="J26" s="435">
        <v>2.5096750835670001</v>
      </c>
      <c r="K26" s="867">
        <v>3.0655908095110003</v>
      </c>
      <c r="L26" s="216">
        <v>3.1125686849799998</v>
      </c>
    </row>
    <row r="27" spans="2:12" ht="20.25" customHeight="1" x14ac:dyDescent="0.25">
      <c r="B27" s="433">
        <v>19</v>
      </c>
      <c r="C27" s="439" t="s">
        <v>1023</v>
      </c>
      <c r="D27" s="436">
        <v>6.6000000000000003E-2</v>
      </c>
      <c r="E27" s="436">
        <v>6.6000000000000003E-2</v>
      </c>
      <c r="F27" s="436">
        <v>8.6928253000000011E-2</v>
      </c>
      <c r="G27" s="436">
        <v>8.0989876999999988E-2</v>
      </c>
      <c r="H27" s="436">
        <v>7.5132763999999991E-2</v>
      </c>
      <c r="I27" s="436">
        <v>7.3221177999999998E-2</v>
      </c>
      <c r="J27" s="436">
        <v>6.5409207999999996E-2</v>
      </c>
      <c r="K27" s="869">
        <v>6.8152166000000014E-2</v>
      </c>
      <c r="L27" s="216">
        <v>7.4318623558999999E-2</v>
      </c>
    </row>
    <row r="28" spans="2:12" ht="20.25" customHeight="1" x14ac:dyDescent="0.25">
      <c r="B28" s="433">
        <v>20</v>
      </c>
      <c r="C28" s="439" t="s">
        <v>1024</v>
      </c>
      <c r="D28" s="435">
        <v>15</v>
      </c>
      <c r="E28" s="435">
        <v>15</v>
      </c>
      <c r="F28" s="435">
        <v>13.953106120572539</v>
      </c>
      <c r="G28" s="435">
        <v>11.4745472445285</v>
      </c>
      <c r="H28" s="435">
        <v>14.870674593000004</v>
      </c>
      <c r="I28" s="435">
        <v>17.1162755</v>
      </c>
      <c r="J28" s="435">
        <v>16.533435766307996</v>
      </c>
      <c r="K28" s="867">
        <v>18.043580252692003</v>
      </c>
      <c r="L28" s="216">
        <v>16.773905802999998</v>
      </c>
    </row>
    <row r="29" spans="2:12" ht="20.25" customHeight="1" x14ac:dyDescent="0.25">
      <c r="B29" s="433"/>
      <c r="C29" s="437" t="s">
        <v>1025</v>
      </c>
      <c r="D29" s="431">
        <v>15.066000000000001</v>
      </c>
      <c r="E29" s="431">
        <v>15.066000000000001</v>
      </c>
      <c r="F29" s="431">
        <f>SUM(F27:F28)</f>
        <v>14.040034373572539</v>
      </c>
      <c r="G29" s="431">
        <f>SUM(G27:G28)</f>
        <v>11.5555371215285</v>
      </c>
      <c r="H29" s="431">
        <f>SUM(H27:H28)</f>
        <v>14.945807357000003</v>
      </c>
      <c r="I29" s="431">
        <f>SUM(I27:I28)</f>
        <v>17.189496678000001</v>
      </c>
      <c r="J29" s="431">
        <f>SUM(J27:J28)</f>
        <v>16.598844974307994</v>
      </c>
      <c r="K29" s="868">
        <v>18.111732418692004</v>
      </c>
      <c r="L29" s="1129">
        <v>16.8</v>
      </c>
    </row>
    <row r="30" spans="2:12" ht="20.25" customHeight="1" x14ac:dyDescent="0.25">
      <c r="B30" s="433">
        <v>21</v>
      </c>
      <c r="C30" s="439" t="s">
        <v>1026</v>
      </c>
      <c r="D30" s="435">
        <v>33</v>
      </c>
      <c r="E30" s="435">
        <v>33</v>
      </c>
      <c r="F30" s="435">
        <v>33.018532069999999</v>
      </c>
      <c r="G30" s="435">
        <v>34.099679797000007</v>
      </c>
      <c r="H30" s="435">
        <v>34.757067292999999</v>
      </c>
      <c r="I30" s="435">
        <v>34.433469385000002</v>
      </c>
      <c r="J30" s="435">
        <v>34.390101257999994</v>
      </c>
      <c r="K30" s="867">
        <v>34.990492632999995</v>
      </c>
      <c r="L30" s="216">
        <v>33.646362205999999</v>
      </c>
    </row>
    <row r="31" spans="2:12" ht="20.25" customHeight="1" x14ac:dyDescent="0.25">
      <c r="B31" s="433">
        <v>22</v>
      </c>
      <c r="C31" s="439" t="s">
        <v>1027</v>
      </c>
      <c r="D31" s="435">
        <v>35.200000000000003</v>
      </c>
      <c r="E31" s="435">
        <v>35.200000000000003</v>
      </c>
      <c r="F31" s="435">
        <v>35.876453999999995</v>
      </c>
      <c r="G31" s="435">
        <v>26.8412750908</v>
      </c>
      <c r="H31" s="435">
        <v>28.264424355999999</v>
      </c>
      <c r="I31" s="435">
        <v>27.871757623999997</v>
      </c>
      <c r="J31" s="435">
        <v>28.299948917000002</v>
      </c>
      <c r="K31" s="867">
        <v>31.191571794999994</v>
      </c>
      <c r="L31" s="216">
        <v>33.682332484999996</v>
      </c>
    </row>
    <row r="32" spans="2:12" ht="20.25" customHeight="1" x14ac:dyDescent="0.25">
      <c r="B32" s="2325">
        <v>23</v>
      </c>
      <c r="C32" s="2326" t="s">
        <v>1028</v>
      </c>
      <c r="D32" s="2327">
        <v>20</v>
      </c>
      <c r="E32" s="2327">
        <v>20</v>
      </c>
      <c r="F32" s="2327">
        <v>20.620177720455999</v>
      </c>
      <c r="G32" s="2327">
        <v>17.067111405521718</v>
      </c>
      <c r="H32" s="2327">
        <v>20.164411299278004</v>
      </c>
      <c r="I32" s="2327">
        <v>18.692446725520004</v>
      </c>
      <c r="J32" s="2327">
        <v>20.322449642393</v>
      </c>
      <c r="K32" s="2328">
        <v>20.486282427911</v>
      </c>
      <c r="L32" s="1166">
        <v>18.851338758033002</v>
      </c>
    </row>
    <row r="33" spans="2:12" ht="20.25" customHeight="1" x14ac:dyDescent="0.25">
      <c r="B33" s="2329"/>
      <c r="C33" s="2330" t="s">
        <v>1029</v>
      </c>
      <c r="D33" s="2331">
        <v>258.11599999999999</v>
      </c>
      <c r="E33" s="2331">
        <v>258.11599999999999</v>
      </c>
      <c r="F33" s="2331">
        <f>F14+F18+F22+F25+F26+F29+F30+F31+F32</f>
        <v>254.38582343815239</v>
      </c>
      <c r="G33" s="2331">
        <f>G14+G18+G22+G25+G26+G29+G30+G31+G32</f>
        <v>221.77319590647392</v>
      </c>
      <c r="H33" s="2331">
        <f>H14+H18+H22+H25+H26+H29+H30+H31+H32</f>
        <v>241.70364543717147</v>
      </c>
      <c r="I33" s="2331">
        <f>I14+I18+I22+I25+I26+I29+I30+I31+I32</f>
        <v>255.23212164050781</v>
      </c>
      <c r="J33" s="2331">
        <f>J14+J18+J22+J25+J26+J29+J30+J31+J32</f>
        <v>261.54600737294282</v>
      </c>
      <c r="K33" s="2332">
        <v>268.60724717822029</v>
      </c>
      <c r="L33" s="1615">
        <v>271.99099999999999</v>
      </c>
    </row>
    <row r="34" spans="2:12" ht="16.5" x14ac:dyDescent="0.25">
      <c r="B34" s="3127" t="s">
        <v>2289</v>
      </c>
      <c r="C34" s="3127"/>
      <c r="D34" s="3127"/>
      <c r="E34" s="3127"/>
      <c r="F34" s="3127"/>
      <c r="G34" s="3127"/>
      <c r="H34" s="3127"/>
      <c r="I34" s="3127"/>
      <c r="J34" s="3127"/>
      <c r="K34" s="3127"/>
      <c r="L34" s="1176"/>
    </row>
    <row r="35" spans="2:12" ht="16.5" x14ac:dyDescent="0.3">
      <c r="B35" s="2333"/>
      <c r="C35" s="2334"/>
      <c r="D35" s="2335"/>
      <c r="E35" s="2336"/>
      <c r="F35" s="2336"/>
      <c r="G35" s="2336"/>
      <c r="H35" s="2336"/>
      <c r="I35" s="2336"/>
      <c r="J35" s="2337"/>
      <c r="K35" s="2337"/>
      <c r="L35" s="1176"/>
    </row>
    <row r="36" spans="2:12" ht="3.75" customHeight="1" x14ac:dyDescent="0.25">
      <c r="B36" s="2338"/>
      <c r="C36" s="2334"/>
      <c r="D36" s="2335"/>
      <c r="E36" s="2335"/>
      <c r="F36" s="2339"/>
      <c r="G36" s="2339"/>
      <c r="H36" s="2335"/>
      <c r="I36" s="2335"/>
      <c r="J36" s="1176"/>
      <c r="K36" s="1176"/>
      <c r="L36" s="1176"/>
    </row>
    <row r="37" spans="2:12" ht="18.75" customHeight="1" x14ac:dyDescent="0.25">
      <c r="B37" s="3120" t="s">
        <v>1030</v>
      </c>
      <c r="C37" s="3120"/>
      <c r="D37" s="3120"/>
      <c r="E37" s="3120"/>
      <c r="F37" s="3120"/>
      <c r="G37" s="3120"/>
      <c r="H37" s="3120"/>
      <c r="I37" s="3120"/>
      <c r="J37" s="3120"/>
      <c r="K37" s="3120"/>
      <c r="L37" s="3120"/>
    </row>
    <row r="38" spans="2:12" ht="15" customHeight="1" x14ac:dyDescent="0.25">
      <c r="B38" s="3121" t="s">
        <v>242</v>
      </c>
      <c r="C38" s="3121"/>
      <c r="D38" s="3121"/>
      <c r="E38" s="3121"/>
      <c r="F38" s="3121"/>
      <c r="G38" s="3121"/>
      <c r="H38" s="3121"/>
      <c r="I38" s="3121"/>
      <c r="J38" s="3121"/>
      <c r="K38" s="3121"/>
      <c r="L38" s="3121"/>
    </row>
    <row r="39" spans="2:12" ht="36" customHeight="1" x14ac:dyDescent="0.25">
      <c r="B39" s="2340" t="s">
        <v>999</v>
      </c>
      <c r="C39" s="3122" t="s">
        <v>1031</v>
      </c>
      <c r="D39" s="3123"/>
      <c r="E39" s="3124"/>
      <c r="F39" s="2340" t="s">
        <v>8</v>
      </c>
      <c r="G39" s="2340" t="s">
        <v>9</v>
      </c>
      <c r="H39" s="2340" t="s">
        <v>77</v>
      </c>
      <c r="I39" s="2340" t="s">
        <v>11</v>
      </c>
      <c r="J39" s="2340" t="s">
        <v>382</v>
      </c>
      <c r="K39" s="2341" t="s">
        <v>2309</v>
      </c>
      <c r="L39" s="2342" t="s">
        <v>2479</v>
      </c>
    </row>
    <row r="40" spans="2:12" ht="20.25" customHeight="1" x14ac:dyDescent="0.25">
      <c r="B40" s="2325">
        <v>1</v>
      </c>
      <c r="C40" s="3114" t="s">
        <v>1032</v>
      </c>
      <c r="D40" s="3115"/>
      <c r="E40" s="3116"/>
      <c r="F40" s="2327">
        <v>192.37315489140497</v>
      </c>
      <c r="G40" s="2327">
        <v>161.44024225463409</v>
      </c>
      <c r="H40" s="2327">
        <v>185.02597475643091</v>
      </c>
      <c r="I40" s="2327">
        <v>197.87627920838281</v>
      </c>
      <c r="J40" s="2343">
        <v>205.30973571461556</v>
      </c>
      <c r="K40" s="2344">
        <v>213.75432638661044</v>
      </c>
      <c r="L40" s="1166">
        <v>213.97893425130553</v>
      </c>
    </row>
    <row r="41" spans="2:12" ht="20.25" customHeight="1" x14ac:dyDescent="0.25">
      <c r="B41" s="2325">
        <v>2</v>
      </c>
      <c r="C41" s="3114" t="s">
        <v>1033</v>
      </c>
      <c r="D41" s="3115"/>
      <c r="E41" s="3116"/>
      <c r="F41" s="2327">
        <v>62.012668546747435</v>
      </c>
      <c r="G41" s="2327">
        <v>60.33295365183988</v>
      </c>
      <c r="H41" s="2327">
        <v>56.67767068074054</v>
      </c>
      <c r="I41" s="2327">
        <v>57.355842432125009</v>
      </c>
      <c r="J41" s="2343">
        <v>56.236271658327269</v>
      </c>
      <c r="K41" s="2344">
        <v>54.859000446921769</v>
      </c>
      <c r="L41" s="1166">
        <v>58.012246853646502</v>
      </c>
    </row>
    <row r="42" spans="2:12" ht="20.25" customHeight="1" x14ac:dyDescent="0.25">
      <c r="B42" s="2329"/>
      <c r="C42" s="3117" t="s">
        <v>1034</v>
      </c>
      <c r="D42" s="3118"/>
      <c r="E42" s="3119"/>
      <c r="F42" s="2331">
        <f>SUM(F40:F41)</f>
        <v>254.38582343815239</v>
      </c>
      <c r="G42" s="2331">
        <f>SUM(G40:G41)</f>
        <v>221.77319590647397</v>
      </c>
      <c r="H42" s="2331">
        <f>SUM(H40:H41)</f>
        <v>241.70364543717145</v>
      </c>
      <c r="I42" s="2331">
        <f>SUM(I40:I41)</f>
        <v>255.23212164050781</v>
      </c>
      <c r="J42" s="2331">
        <f>SUM(J40:J41)</f>
        <v>261.54600737294282</v>
      </c>
      <c r="K42" s="2332">
        <v>268.6133268335322</v>
      </c>
      <c r="L42" s="1615">
        <v>271.99118110495198</v>
      </c>
    </row>
    <row r="43" spans="2:12" ht="20.25" customHeight="1" x14ac:dyDescent="0.25">
      <c r="B43" s="2329"/>
      <c r="C43" s="3114" t="s">
        <v>1035</v>
      </c>
      <c r="D43" s="3115"/>
      <c r="E43" s="3116"/>
      <c r="F43" s="2345">
        <f>F40/F42</f>
        <v>0.75622592600242022</v>
      </c>
      <c r="G43" s="2345">
        <f>G40/G42</f>
        <v>0.72795200337337673</v>
      </c>
      <c r="H43" s="2345">
        <f>H40/H42</f>
        <v>0.76550758852549727</v>
      </c>
      <c r="I43" s="2345">
        <f>I40/I42</f>
        <v>0.77527968633622768</v>
      </c>
      <c r="J43" s="2345">
        <f>J40/J42</f>
        <v>0.78498516485423142</v>
      </c>
      <c r="K43" s="2346">
        <v>0.79576962508297466</v>
      </c>
      <c r="L43" s="2347">
        <v>0.78671276539932544</v>
      </c>
    </row>
    <row r="44" spans="2:12" ht="16.5" x14ac:dyDescent="0.25">
      <c r="B44" s="2334" t="s">
        <v>2289</v>
      </c>
      <c r="C44" s="2348"/>
      <c r="D44" s="2349"/>
      <c r="E44" s="2349"/>
      <c r="F44" s="2350"/>
      <c r="G44" s="2350"/>
      <c r="H44" s="1176"/>
      <c r="I44" s="2351"/>
      <c r="J44" s="1176"/>
      <c r="K44" s="1292"/>
      <c r="L44" s="1176"/>
    </row>
    <row r="45" spans="2:12" x14ac:dyDescent="0.25">
      <c r="B45" s="2352"/>
      <c r="C45" s="2352"/>
      <c r="D45" s="2350"/>
      <c r="E45" s="2350"/>
      <c r="F45" s="2350"/>
      <c r="G45" s="2350"/>
      <c r="H45" s="2350"/>
      <c r="I45" s="2350"/>
      <c r="J45" s="1176"/>
      <c r="K45" s="1176"/>
      <c r="L45" s="1176"/>
    </row>
    <row r="46" spans="2:12" ht="18.75" customHeight="1" x14ac:dyDescent="0.25">
      <c r="B46" s="3120" t="s">
        <v>1036</v>
      </c>
      <c r="C46" s="3120"/>
      <c r="D46" s="3120"/>
      <c r="E46" s="3120"/>
      <c r="F46" s="3120"/>
      <c r="G46" s="3120"/>
      <c r="H46" s="3120"/>
      <c r="I46" s="3120"/>
      <c r="J46" s="3120"/>
      <c r="K46" s="3120"/>
      <c r="L46" s="3120"/>
    </row>
    <row r="47" spans="2:12" ht="15" customHeight="1" x14ac:dyDescent="0.25">
      <c r="B47" s="3121" t="s">
        <v>242</v>
      </c>
      <c r="C47" s="3121"/>
      <c r="D47" s="3121"/>
      <c r="E47" s="3121"/>
      <c r="F47" s="3121"/>
      <c r="G47" s="3121"/>
      <c r="H47" s="3121"/>
      <c r="I47" s="3121"/>
      <c r="J47" s="3121"/>
      <c r="K47" s="3121"/>
      <c r="L47" s="3121"/>
    </row>
    <row r="48" spans="2:12" ht="29.25" customHeight="1" x14ac:dyDescent="0.25">
      <c r="B48" s="2340" t="s">
        <v>999</v>
      </c>
      <c r="C48" s="3122" t="s">
        <v>1037</v>
      </c>
      <c r="D48" s="3123"/>
      <c r="E48" s="3124"/>
      <c r="F48" s="2340" t="s">
        <v>8</v>
      </c>
      <c r="G48" s="2340" t="s">
        <v>76</v>
      </c>
      <c r="H48" s="2340" t="s">
        <v>77</v>
      </c>
      <c r="I48" s="2340" t="s">
        <v>11</v>
      </c>
      <c r="J48" s="2340" t="s">
        <v>382</v>
      </c>
      <c r="K48" s="2341" t="s">
        <v>2309</v>
      </c>
      <c r="L48" s="2342" t="s">
        <v>2479</v>
      </c>
    </row>
    <row r="49" spans="2:12" ht="20.25" customHeight="1" x14ac:dyDescent="0.25">
      <c r="B49" s="2325">
        <v>1</v>
      </c>
      <c r="C49" s="3114" t="s">
        <v>1038</v>
      </c>
      <c r="D49" s="3115"/>
      <c r="E49" s="3116"/>
      <c r="F49" s="2327">
        <v>225.1100003743899</v>
      </c>
      <c r="G49" s="2327">
        <v>193.76083393758395</v>
      </c>
      <c r="H49" s="2327">
        <v>214.68667970110349</v>
      </c>
      <c r="I49" s="2327">
        <v>228.77833666906784</v>
      </c>
      <c r="J49" s="2327">
        <v>234.71531377487085</v>
      </c>
      <c r="K49" s="2328">
        <v>242.10925960145701</v>
      </c>
      <c r="L49" s="1166">
        <v>246.15875049191516</v>
      </c>
    </row>
    <row r="50" spans="2:12" ht="20.25" customHeight="1" x14ac:dyDescent="0.25">
      <c r="B50" s="2325">
        <v>2</v>
      </c>
      <c r="C50" s="3114" t="s">
        <v>1039</v>
      </c>
      <c r="D50" s="3115"/>
      <c r="E50" s="3116"/>
      <c r="F50" s="2327">
        <v>29.27582306376253</v>
      </c>
      <c r="G50" s="2327">
        <v>28.012361968889994</v>
      </c>
      <c r="H50" s="2327">
        <v>27.016965736068006</v>
      </c>
      <c r="I50" s="2327">
        <v>26.453784971439998</v>
      </c>
      <c r="J50" s="2327">
        <v>26.830693598071999</v>
      </c>
      <c r="K50" s="2328">
        <v>26.504067232075002</v>
      </c>
      <c r="L50" s="1166">
        <v>25.832430613036898</v>
      </c>
    </row>
    <row r="51" spans="2:12" ht="20.25" customHeight="1" x14ac:dyDescent="0.25">
      <c r="B51" s="2329"/>
      <c r="C51" s="3117" t="s">
        <v>1034</v>
      </c>
      <c r="D51" s="3118"/>
      <c r="E51" s="3119"/>
      <c r="F51" s="2331">
        <f>SUM(F49:F50)</f>
        <v>254.38582343815244</v>
      </c>
      <c r="G51" s="2331">
        <f>SUM(G49:G50)</f>
        <v>221.77319590647394</v>
      </c>
      <c r="H51" s="2331">
        <f>SUM(H49:H50)</f>
        <v>241.7036454371715</v>
      </c>
      <c r="I51" s="2331">
        <f>SUM(I49:I50)</f>
        <v>255.23212164050784</v>
      </c>
      <c r="J51" s="2331">
        <f>SUM(J49:J50)</f>
        <v>261.54600737294282</v>
      </c>
      <c r="K51" s="2332">
        <v>268.61332683353203</v>
      </c>
      <c r="L51" s="1615">
        <v>271.99118110495203</v>
      </c>
    </row>
    <row r="52" spans="2:12" ht="35.450000000000003" customHeight="1" x14ac:dyDescent="0.25">
      <c r="B52" s="2329"/>
      <c r="C52" s="3114" t="s">
        <v>1040</v>
      </c>
      <c r="D52" s="3115"/>
      <c r="E52" s="3116"/>
      <c r="F52" s="2345">
        <f>+F49/F51</f>
        <v>0.88491566602224503</v>
      </c>
      <c r="G52" s="2345">
        <f>+G49/G51</f>
        <v>0.87368914509982831</v>
      </c>
      <c r="H52" s="2345">
        <f>+H49/H51</f>
        <v>0.88822276268443456</v>
      </c>
      <c r="I52" s="2345">
        <f>+I49/I51</f>
        <v>0.89635401374479062</v>
      </c>
      <c r="J52" s="2345">
        <f>+J49/J51</f>
        <v>0.89741501364303511</v>
      </c>
      <c r="K52" s="2346">
        <v>0.90133003621037611</v>
      </c>
      <c r="L52" s="2347">
        <v>0.90502474930218779</v>
      </c>
    </row>
    <row r="53" spans="2:12" ht="16.5" x14ac:dyDescent="0.25">
      <c r="B53" s="58" t="s">
        <v>2289</v>
      </c>
      <c r="C53" s="440"/>
      <c r="D53" s="441"/>
      <c r="E53" s="441"/>
      <c r="F53" s="442"/>
      <c r="G53" s="442"/>
      <c r="H53" s="442"/>
      <c r="I53" s="442"/>
    </row>
    <row r="64" spans="2:12" ht="1.5" customHeight="1" x14ac:dyDescent="0.25"/>
  </sheetData>
  <mergeCells count="20">
    <mergeCell ref="C41:E41"/>
    <mergeCell ref="B1:L1"/>
    <mergeCell ref="B2:I2"/>
    <mergeCell ref="B3:B4"/>
    <mergeCell ref="C3:C4"/>
    <mergeCell ref="F3:L3"/>
    <mergeCell ref="B34:K34"/>
    <mergeCell ref="B37:L37"/>
    <mergeCell ref="B38:L38"/>
    <mergeCell ref="C39:E39"/>
    <mergeCell ref="C40:E40"/>
    <mergeCell ref="C50:E50"/>
    <mergeCell ref="C51:E51"/>
    <mergeCell ref="C52:E52"/>
    <mergeCell ref="C42:E42"/>
    <mergeCell ref="C43:E43"/>
    <mergeCell ref="B46:L46"/>
    <mergeCell ref="B47:L47"/>
    <mergeCell ref="C48:E48"/>
    <mergeCell ref="C49:E49"/>
  </mergeCells>
  <hyperlinks>
    <hyperlink ref="A1" location="CONTENTS!A1" display="Home" xr:uid="{DE6C322D-A6FE-486F-9AC6-E4548A5C9D60}"/>
  </hyperlinks>
  <pageMargins left="0.70866141732283472" right="0.70866141732283472" top="0.74803149606299213" bottom="0.74803149606299213" header="0.31496062992125984" footer="0.31496062992125984"/>
  <pageSetup paperSize="9" scale="65"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3E66F8-904D-4712-A3ED-F6C93E807199}">
  <sheetPr>
    <tabColor theme="0"/>
    <pageSetUpPr fitToPage="1"/>
  </sheetPr>
  <dimension ref="A1:T64"/>
  <sheetViews>
    <sheetView view="pageLayout" topLeftCell="E37" zoomScale="60" zoomScaleNormal="85" zoomScalePageLayoutView="60" workbookViewId="0">
      <selection activeCell="B81" sqref="B81"/>
    </sheetView>
  </sheetViews>
  <sheetFormatPr defaultColWidth="9.140625" defaultRowHeight="15.75" x14ac:dyDescent="0.25"/>
  <cols>
    <col min="1" max="1" width="4.28515625" style="112" hidden="1" customWidth="1"/>
    <col min="2" max="2" width="36.7109375" style="112" customWidth="1"/>
    <col min="3" max="4" width="11.42578125" style="443" hidden="1" customWidth="1"/>
    <col min="5" max="5" width="13.85546875" style="443" customWidth="1"/>
    <col min="6" max="7" width="12.85546875" style="112" customWidth="1"/>
    <col min="8" max="8" width="13.5703125" style="112" customWidth="1"/>
    <col min="9" max="9" width="14.5703125" style="112" customWidth="1"/>
    <col min="10" max="10" width="14.28515625" style="112" customWidth="1"/>
    <col min="11" max="11" width="13.5703125" style="112" customWidth="1"/>
    <col min="12" max="12" width="14.42578125" style="112" customWidth="1"/>
    <col min="13" max="13" width="21.140625" style="112" customWidth="1"/>
    <col min="14" max="15" width="14.42578125" style="112" customWidth="1"/>
    <col min="16" max="16" width="20.140625" style="112" customWidth="1"/>
    <col min="17" max="17" width="9.140625" style="112"/>
    <col min="18" max="18" width="25.7109375" style="112" hidden="1" customWidth="1"/>
    <col min="19" max="19" width="0" style="112" hidden="1" customWidth="1"/>
    <col min="20" max="16384" width="9.140625" style="112"/>
  </cols>
  <sheetData>
    <row r="1" spans="1:20" ht="48" customHeight="1" x14ac:dyDescent="0.25">
      <c r="A1" s="444" t="s">
        <v>296</v>
      </c>
      <c r="B1" s="3162" t="s">
        <v>1041</v>
      </c>
      <c r="C1" s="3162"/>
      <c r="D1" s="3162"/>
      <c r="E1" s="3162"/>
      <c r="F1" s="3162"/>
      <c r="G1" s="3162"/>
      <c r="H1" s="3162"/>
      <c r="I1" s="3162"/>
      <c r="J1" s="3162"/>
      <c r="K1" s="3162"/>
      <c r="L1" s="3162"/>
      <c r="M1" s="3162"/>
      <c r="N1" s="3162"/>
      <c r="O1" s="3162"/>
      <c r="P1" s="3162"/>
    </row>
    <row r="2" spans="1:20" ht="16.5" x14ac:dyDescent="0.25">
      <c r="B2" s="3163" t="s">
        <v>242</v>
      </c>
      <c r="C2" s="3164"/>
      <c r="D2" s="3164"/>
      <c r="E2" s="3164"/>
      <c r="F2" s="3164"/>
      <c r="G2" s="3164"/>
      <c r="H2" s="3164"/>
      <c r="I2" s="3164"/>
      <c r="J2" s="3164"/>
      <c r="K2" s="3164"/>
      <c r="L2" s="3164"/>
      <c r="M2" s="3164"/>
      <c r="N2" s="3164"/>
      <c r="O2" s="3164"/>
      <c r="P2" s="3164"/>
    </row>
    <row r="3" spans="1:20" ht="51" customHeight="1" x14ac:dyDescent="0.25">
      <c r="B3" s="680"/>
      <c r="C3" s="3165" t="s">
        <v>8</v>
      </c>
      <c r="D3" s="3166"/>
      <c r="E3" s="3167" t="s">
        <v>76</v>
      </c>
      <c r="F3" s="3168"/>
      <c r="G3" s="3167" t="s">
        <v>77</v>
      </c>
      <c r="H3" s="3168"/>
      <c r="I3" s="3154" t="s">
        <v>11</v>
      </c>
      <c r="J3" s="3155"/>
      <c r="K3" s="3154" t="s">
        <v>382</v>
      </c>
      <c r="L3" s="3155"/>
      <c r="M3" s="3154" t="s">
        <v>2309</v>
      </c>
      <c r="N3" s="3155"/>
      <c r="O3" s="3158" t="s">
        <v>2479</v>
      </c>
      <c r="P3" s="3159"/>
    </row>
    <row r="4" spans="1:20" ht="31.5" customHeight="1" x14ac:dyDescent="0.25">
      <c r="B4" s="3169" t="s">
        <v>1042</v>
      </c>
      <c r="C4" s="3170"/>
      <c r="D4" s="3170"/>
      <c r="E4" s="3170"/>
      <c r="F4" s="3170"/>
      <c r="G4" s="3170"/>
      <c r="H4" s="3170"/>
      <c r="I4" s="3170"/>
      <c r="J4" s="3170"/>
      <c r="K4" s="3170"/>
      <c r="L4" s="3170"/>
      <c r="M4" s="3170"/>
      <c r="N4" s="3170"/>
      <c r="O4" s="3170"/>
      <c r="P4" s="3171"/>
    </row>
    <row r="5" spans="1:20" ht="26.25" x14ac:dyDescent="0.35">
      <c r="B5" s="1273" t="s">
        <v>1043</v>
      </c>
      <c r="C5" s="3148">
        <f>SUBTOTAL(9,C6:C9)</f>
        <v>87.368865291171844</v>
      </c>
      <c r="D5" s="3148"/>
      <c r="E5" s="3148">
        <f>SUBTOTAL(9,E6:E9)</f>
        <v>83.026867014000985</v>
      </c>
      <c r="F5" s="3148"/>
      <c r="G5" s="3148">
        <f>SUBTOTAL(9,G6:G9)</f>
        <v>89.339594339240122</v>
      </c>
      <c r="H5" s="3148"/>
      <c r="I5" s="3148">
        <f>SUBTOTAL(9,I6:I9)</f>
        <v>89.577351056455939</v>
      </c>
      <c r="J5" s="3148"/>
      <c r="K5" s="3148">
        <f>SUBTOTAL(9,K6:K9)</f>
        <v>92.453628166535196</v>
      </c>
      <c r="L5" s="3148"/>
      <c r="M5" s="3128">
        <v>98.357333821221246</v>
      </c>
      <c r="N5" s="3129"/>
      <c r="O5" s="3160">
        <v>99.951142985638199</v>
      </c>
      <c r="P5" s="3161"/>
      <c r="Q5" s="223"/>
      <c r="R5" s="1130">
        <f>SUBTOTAL(9,R6:R9)</f>
        <v>48409.97540320707</v>
      </c>
      <c r="S5" s="223">
        <f>+R5/1000</f>
        <v>48.409975403207071</v>
      </c>
    </row>
    <row r="6" spans="1:20" ht="26.25" x14ac:dyDescent="0.35">
      <c r="B6" s="1274" t="s">
        <v>1044</v>
      </c>
      <c r="C6" s="3135">
        <v>10.866648913727998</v>
      </c>
      <c r="D6" s="3135"/>
      <c r="E6" s="3135">
        <v>10.212840224987</v>
      </c>
      <c r="F6" s="3135"/>
      <c r="G6" s="3135">
        <v>10.589136146049</v>
      </c>
      <c r="H6" s="3135"/>
      <c r="I6" s="3135">
        <v>11.226422416493003</v>
      </c>
      <c r="J6" s="3135"/>
      <c r="K6" s="3135">
        <v>11.0993073952784</v>
      </c>
      <c r="L6" s="3135"/>
      <c r="M6" s="3149">
        <v>11.290149469319998</v>
      </c>
      <c r="N6" s="3150"/>
      <c r="O6" s="3156">
        <v>11.702119151668802</v>
      </c>
      <c r="P6" s="3157"/>
      <c r="R6" s="417">
        <v>5528.8981718340019</v>
      </c>
      <c r="S6" s="112">
        <f t="shared" ref="S6:S30" si="0">+R6/1000</f>
        <v>5.528898171834002</v>
      </c>
    </row>
    <row r="7" spans="1:20" ht="26.25" x14ac:dyDescent="0.35">
      <c r="B7" s="1277" t="s">
        <v>1045</v>
      </c>
      <c r="C7" s="3135">
        <v>38.616484757760013</v>
      </c>
      <c r="D7" s="3135"/>
      <c r="E7" s="3135">
        <v>35.778534439795578</v>
      </c>
      <c r="F7" s="3135"/>
      <c r="G7" s="3135">
        <v>40.237937531400206</v>
      </c>
      <c r="H7" s="3135"/>
      <c r="I7" s="3135">
        <v>42.817124452342313</v>
      </c>
      <c r="J7" s="3135"/>
      <c r="K7" s="3135">
        <v>45.080559574073888</v>
      </c>
      <c r="L7" s="3135"/>
      <c r="M7" s="3149">
        <v>48.26442193680662</v>
      </c>
      <c r="N7" s="3150"/>
      <c r="O7" s="3156">
        <v>49.778968588928521</v>
      </c>
      <c r="P7" s="3157"/>
      <c r="R7" s="417">
        <v>23288.922287638259</v>
      </c>
      <c r="S7" s="112">
        <f t="shared" si="0"/>
        <v>23.288922287638258</v>
      </c>
    </row>
    <row r="8" spans="1:20" ht="26.25" x14ac:dyDescent="0.25">
      <c r="B8" s="1277" t="s">
        <v>1046</v>
      </c>
      <c r="C8" s="3135">
        <v>19.404337182455997</v>
      </c>
      <c r="D8" s="3135"/>
      <c r="E8" s="3135">
        <v>18.405780179724001</v>
      </c>
      <c r="F8" s="3135"/>
      <c r="G8" s="3135">
        <v>19.023404499044002</v>
      </c>
      <c r="H8" s="3135"/>
      <c r="I8" s="3135">
        <v>16.072892696318004</v>
      </c>
      <c r="J8" s="3135"/>
      <c r="K8" s="3135">
        <v>17.312471510346999</v>
      </c>
      <c r="L8" s="3135"/>
      <c r="M8" s="3149">
        <v>17.258516346655998</v>
      </c>
      <c r="N8" s="3150"/>
      <c r="O8" s="3149">
        <v>17.499149182492999</v>
      </c>
      <c r="P8" s="3150"/>
      <c r="R8" s="417">
        <v>8730.7898735509989</v>
      </c>
      <c r="S8" s="112">
        <f t="shared" si="0"/>
        <v>8.7307898735509983</v>
      </c>
      <c r="T8" s="1131"/>
    </row>
    <row r="9" spans="1:20" ht="26.25" x14ac:dyDescent="0.25">
      <c r="B9" s="1277" t="s">
        <v>148</v>
      </c>
      <c r="C9" s="3135">
        <v>18.481394437227834</v>
      </c>
      <c r="D9" s="3135"/>
      <c r="E9" s="3135">
        <v>18.629712169494411</v>
      </c>
      <c r="F9" s="3135"/>
      <c r="G9" s="3135">
        <v>19.48911616274691</v>
      </c>
      <c r="H9" s="3135"/>
      <c r="I9" s="3135">
        <v>19.460911491302625</v>
      </c>
      <c r="J9" s="3135"/>
      <c r="K9" s="3135">
        <v>18.961289686835912</v>
      </c>
      <c r="L9" s="3135"/>
      <c r="M9" s="3149">
        <v>21.544246068438618</v>
      </c>
      <c r="N9" s="3150"/>
      <c r="O9" s="3149">
        <v>20.970906062547886</v>
      </c>
      <c r="P9" s="3150"/>
      <c r="R9" s="417">
        <v>10861.365070183812</v>
      </c>
      <c r="S9" s="112">
        <f t="shared" si="0"/>
        <v>10.861365070183812</v>
      </c>
      <c r="T9" s="1131"/>
    </row>
    <row r="10" spans="1:20" ht="26.25" x14ac:dyDescent="0.3">
      <c r="B10" s="1273" t="s">
        <v>1047</v>
      </c>
      <c r="C10" s="3148">
        <f>SUBTOTAL(9,C11:C15)</f>
        <v>135.54567623834853</v>
      </c>
      <c r="D10" s="3148"/>
      <c r="E10" s="3148">
        <f>SUBTOTAL(9,E11:E15)</f>
        <v>115.36065734322762</v>
      </c>
      <c r="F10" s="3148"/>
      <c r="G10" s="3148">
        <f>SUBTOTAL(9,G11:G15)</f>
        <v>125.36992657845515</v>
      </c>
      <c r="H10" s="3148"/>
      <c r="I10" s="3148">
        <f>SUBTOTAL(9,I11:I15)</f>
        <v>136.63653310167552</v>
      </c>
      <c r="J10" s="3148"/>
      <c r="K10" s="3148">
        <f>SUBTOTAL(9,K11:K15)</f>
        <v>142.09042422514625</v>
      </c>
      <c r="L10" s="3148"/>
      <c r="M10" s="3128">
        <v>143.81021189648001</v>
      </c>
      <c r="N10" s="3129"/>
      <c r="O10" s="3128">
        <v>144.39202690446024</v>
      </c>
      <c r="P10" s="3129"/>
      <c r="Q10" s="223"/>
      <c r="R10" s="1130">
        <f>SUBTOTAL(9,R11:R15)</f>
        <v>70298.75638302468</v>
      </c>
      <c r="S10" s="223">
        <f t="shared" si="0"/>
        <v>70.298756383024681</v>
      </c>
      <c r="T10" s="1131"/>
    </row>
    <row r="11" spans="1:20" ht="26.25" x14ac:dyDescent="0.25">
      <c r="B11" s="1274" t="s">
        <v>1048</v>
      </c>
      <c r="C11" s="3135">
        <v>3.1602485608854227</v>
      </c>
      <c r="D11" s="3135"/>
      <c r="E11" s="3135">
        <v>2.3602716674565776</v>
      </c>
      <c r="F11" s="3135"/>
      <c r="G11" s="3135">
        <v>1.8948413600470002</v>
      </c>
      <c r="H11" s="3135"/>
      <c r="I11" s="3135">
        <v>0.94074257603600009</v>
      </c>
      <c r="J11" s="3135"/>
      <c r="K11" s="3135">
        <v>0.9776984414420411</v>
      </c>
      <c r="L11" s="3135"/>
      <c r="M11" s="3149">
        <v>1.0059514495529998</v>
      </c>
      <c r="N11" s="3150"/>
      <c r="O11" s="3149">
        <v>1.029916306391</v>
      </c>
      <c r="P11" s="3150"/>
      <c r="R11" s="417">
        <v>519.53652256370003</v>
      </c>
      <c r="S11" s="112">
        <f t="shared" si="0"/>
        <v>0.51953652256370009</v>
      </c>
    </row>
    <row r="12" spans="1:20" ht="26.25" x14ac:dyDescent="0.25">
      <c r="B12" s="1277" t="s">
        <v>1049</v>
      </c>
      <c r="C12" s="3135">
        <v>15.211958210139999</v>
      </c>
      <c r="D12" s="3135"/>
      <c r="E12" s="3135">
        <v>7.0767405374219994</v>
      </c>
      <c r="F12" s="3135"/>
      <c r="G12" s="3135">
        <v>10.260565525618999</v>
      </c>
      <c r="H12" s="3135"/>
      <c r="I12" s="3135">
        <v>14.991692275204</v>
      </c>
      <c r="J12" s="3135"/>
      <c r="K12" s="3135">
        <v>17.087607894874996</v>
      </c>
      <c r="L12" s="3135"/>
      <c r="M12" s="3149">
        <v>17.726994565008006</v>
      </c>
      <c r="N12" s="3150"/>
      <c r="O12" s="3149">
        <v>16.407402476793994</v>
      </c>
      <c r="P12" s="3150"/>
      <c r="R12" s="417">
        <v>8780.5852863207001</v>
      </c>
      <c r="S12" s="112">
        <f t="shared" si="0"/>
        <v>8.7805852863207008</v>
      </c>
    </row>
    <row r="13" spans="1:20" ht="26.25" x14ac:dyDescent="0.25">
      <c r="B13" s="1277" t="s">
        <v>1050</v>
      </c>
      <c r="C13" s="3135">
        <v>111.06130095325909</v>
      </c>
      <c r="D13" s="3135"/>
      <c r="E13" s="3135">
        <v>100.38263019752402</v>
      </c>
      <c r="F13" s="3135"/>
      <c r="G13" s="3135">
        <v>107.12734921496018</v>
      </c>
      <c r="H13" s="3135"/>
      <c r="I13" s="3135">
        <v>113.71678305116255</v>
      </c>
      <c r="J13" s="3135"/>
      <c r="K13" s="3135">
        <v>115.85079339746365</v>
      </c>
      <c r="L13" s="3135"/>
      <c r="M13" s="3149">
        <v>118.19035585098</v>
      </c>
      <c r="N13" s="3150"/>
      <c r="O13" s="3149">
        <v>120.79304871345025</v>
      </c>
      <c r="P13" s="3150"/>
      <c r="R13" s="417">
        <v>57643.640569693285</v>
      </c>
      <c r="S13" s="112">
        <f t="shared" si="0"/>
        <v>57.643640569693282</v>
      </c>
    </row>
    <row r="14" spans="1:20" ht="25.5" customHeight="1" x14ac:dyDescent="0.25">
      <c r="B14" s="1277" t="s">
        <v>1051</v>
      </c>
      <c r="C14" s="3135">
        <v>0.62027251723900001</v>
      </c>
      <c r="D14" s="3135"/>
      <c r="E14" s="3135">
        <v>0.72858068646900009</v>
      </c>
      <c r="F14" s="3135"/>
      <c r="G14" s="3135">
        <v>0.80502336542000008</v>
      </c>
      <c r="H14" s="3135"/>
      <c r="I14" s="3135">
        <v>0.64630650278300006</v>
      </c>
      <c r="J14" s="3135"/>
      <c r="K14" s="3135">
        <v>0.65729886247200009</v>
      </c>
      <c r="L14" s="3135"/>
      <c r="M14" s="3149">
        <v>0.62525181508099992</v>
      </c>
      <c r="N14" s="3150"/>
      <c r="O14" s="3149">
        <v>0.69059645834600003</v>
      </c>
      <c r="P14" s="3150"/>
      <c r="R14" s="417">
        <v>296.15746462700002</v>
      </c>
      <c r="S14" s="112">
        <f t="shared" si="0"/>
        <v>0.29615746462700004</v>
      </c>
    </row>
    <row r="15" spans="1:20" ht="23.25" customHeight="1" x14ac:dyDescent="0.25">
      <c r="B15" s="1277" t="s">
        <v>148</v>
      </c>
      <c r="C15" s="3135">
        <v>5.4918959968250363</v>
      </c>
      <c r="D15" s="3135"/>
      <c r="E15" s="3135">
        <v>4.8124342543560203</v>
      </c>
      <c r="F15" s="3135"/>
      <c r="G15" s="3135">
        <v>5.2821471124089783</v>
      </c>
      <c r="H15" s="3135"/>
      <c r="I15" s="3135">
        <v>6.341008696489979</v>
      </c>
      <c r="J15" s="3135"/>
      <c r="K15" s="3135">
        <v>7.5170256288935589</v>
      </c>
      <c r="L15" s="3135"/>
      <c r="M15" s="3149">
        <v>6.2616582158580014</v>
      </c>
      <c r="N15" s="3150"/>
      <c r="O15" s="3149">
        <v>5.4710629494790002</v>
      </c>
      <c r="P15" s="3150"/>
      <c r="R15" s="417">
        <v>3058.8365398199999</v>
      </c>
      <c r="S15" s="112">
        <f t="shared" si="0"/>
        <v>3.0588365398199997</v>
      </c>
    </row>
    <row r="16" spans="1:20" ht="26.25" x14ac:dyDescent="0.3">
      <c r="B16" s="1273" t="s">
        <v>1052</v>
      </c>
      <c r="C16" s="3148">
        <f>SUBTOTAL(9,C17:C21)</f>
        <v>35.266186417370207</v>
      </c>
      <c r="D16" s="3148"/>
      <c r="E16" s="3148">
        <f>SUBTOTAL(9,E17:E21)</f>
        <v>30.913332677464506</v>
      </c>
      <c r="F16" s="3148"/>
      <c r="G16" s="3148">
        <f>SUBTOTAL(9,G17:G21)</f>
        <v>35.544662349009336</v>
      </c>
      <c r="H16" s="3148"/>
      <c r="I16" s="3148">
        <f>SUBTOTAL(9,I17:I21)</f>
        <v>36.83280404881539</v>
      </c>
      <c r="J16" s="3148"/>
      <c r="K16" s="3148">
        <f>SUBTOTAL(9,K17:K21)</f>
        <v>38.031885002395079</v>
      </c>
      <c r="L16" s="3148"/>
      <c r="M16" s="3128">
        <v>38.284224546094009</v>
      </c>
      <c r="N16" s="3129"/>
      <c r="O16" s="3128">
        <v>37.152584425976478</v>
      </c>
      <c r="P16" s="3129"/>
      <c r="Q16" s="223"/>
      <c r="R16" s="1130">
        <f>SUBTOTAL(9,R17:R21)</f>
        <v>19421.833130636896</v>
      </c>
      <c r="S16" s="223">
        <f t="shared" si="0"/>
        <v>19.421833130636898</v>
      </c>
    </row>
    <row r="17" spans="2:19" ht="26.25" x14ac:dyDescent="0.25">
      <c r="B17" s="1274" t="s">
        <v>2341</v>
      </c>
      <c r="C17" s="3135">
        <v>9.2534463864179983</v>
      </c>
      <c r="D17" s="3135"/>
      <c r="E17" s="3135">
        <v>7.430579180485001</v>
      </c>
      <c r="F17" s="3135"/>
      <c r="G17" s="3135">
        <v>8.9211261018180021</v>
      </c>
      <c r="H17" s="3135"/>
      <c r="I17" s="3135">
        <v>10.263274974552001</v>
      </c>
      <c r="J17" s="3135"/>
      <c r="K17" s="3135">
        <v>10.442221163631999</v>
      </c>
      <c r="L17" s="3135"/>
      <c r="M17" s="3149">
        <v>10.805969253840992</v>
      </c>
      <c r="N17" s="3150"/>
      <c r="O17" s="3149">
        <v>10.332242462835</v>
      </c>
      <c r="P17" s="3150"/>
      <c r="R17" s="417">
        <v>5872.6658591609994</v>
      </c>
      <c r="S17" s="112">
        <f t="shared" si="0"/>
        <v>5.8726658591609997</v>
      </c>
    </row>
    <row r="18" spans="2:19" ht="26.25" x14ac:dyDescent="0.25">
      <c r="B18" s="1277" t="s">
        <v>1053</v>
      </c>
      <c r="C18" s="3135">
        <v>0.93180045199999995</v>
      </c>
      <c r="D18" s="3135"/>
      <c r="E18" s="3135">
        <v>1.069292138</v>
      </c>
      <c r="F18" s="3135"/>
      <c r="G18" s="3135">
        <v>1.173284652247</v>
      </c>
      <c r="H18" s="3135"/>
      <c r="I18" s="3135">
        <v>1.4447278629999998</v>
      </c>
      <c r="J18" s="3135"/>
      <c r="K18" s="3135">
        <v>1.3515869017860003</v>
      </c>
      <c r="L18" s="3135"/>
      <c r="M18" s="3149">
        <v>1.2996821793390001</v>
      </c>
      <c r="N18" s="3150"/>
      <c r="O18" s="3149">
        <v>1.4559633944199999</v>
      </c>
      <c r="P18" s="3150"/>
      <c r="R18" s="417">
        <v>607.95554622700001</v>
      </c>
      <c r="S18" s="112">
        <f t="shared" si="0"/>
        <v>0.60795554622699999</v>
      </c>
    </row>
    <row r="19" spans="2:19" ht="26.25" x14ac:dyDescent="0.25">
      <c r="B19" s="1277" t="s">
        <v>1054</v>
      </c>
      <c r="C19" s="3135">
        <v>4.8919013164340006</v>
      </c>
      <c r="D19" s="3135"/>
      <c r="E19" s="3135">
        <v>4.9018265099519995</v>
      </c>
      <c r="F19" s="3135"/>
      <c r="G19" s="3135">
        <v>5.1108422242180005</v>
      </c>
      <c r="H19" s="3135"/>
      <c r="I19" s="3135">
        <v>4.9141497160969996</v>
      </c>
      <c r="J19" s="3135"/>
      <c r="K19" s="3135">
        <v>5.2399738473939994</v>
      </c>
      <c r="L19" s="3135"/>
      <c r="M19" s="3149">
        <v>5.3033462334439996</v>
      </c>
      <c r="N19" s="3150"/>
      <c r="O19" s="3149">
        <v>5.3602829122320008</v>
      </c>
      <c r="P19" s="3150"/>
      <c r="R19" s="417">
        <v>2300.7088039589999</v>
      </c>
      <c r="S19" s="112">
        <f t="shared" si="0"/>
        <v>2.300708803959</v>
      </c>
    </row>
    <row r="20" spans="2:19" ht="26.25" x14ac:dyDescent="0.25">
      <c r="B20" s="1277" t="s">
        <v>1055</v>
      </c>
      <c r="C20" s="3135">
        <v>14.649820991994217</v>
      </c>
      <c r="D20" s="3135"/>
      <c r="E20" s="3135">
        <v>12.039540611027512</v>
      </c>
      <c r="F20" s="3135"/>
      <c r="G20" s="3135">
        <v>15.508445110067333</v>
      </c>
      <c r="H20" s="3135"/>
      <c r="I20" s="3135">
        <v>15.386658924672387</v>
      </c>
      <c r="J20" s="3135"/>
      <c r="K20" s="3135">
        <v>15.054181391506081</v>
      </c>
      <c r="L20" s="3135"/>
      <c r="M20" s="3149">
        <v>14.96343123739771</v>
      </c>
      <c r="N20" s="3150"/>
      <c r="O20" s="3149">
        <v>14.770869129194478</v>
      </c>
      <c r="P20" s="3150"/>
      <c r="R20" s="417">
        <v>7363.3580568718944</v>
      </c>
      <c r="S20" s="112">
        <f t="shared" si="0"/>
        <v>7.3633580568718946</v>
      </c>
    </row>
    <row r="21" spans="2:19" ht="26.25" x14ac:dyDescent="0.25">
      <c r="B21" s="1277" t="s">
        <v>148</v>
      </c>
      <c r="C21" s="3135">
        <v>5.5392172705239915</v>
      </c>
      <c r="D21" s="3135"/>
      <c r="E21" s="3135">
        <v>5.4720942379999933</v>
      </c>
      <c r="F21" s="3135"/>
      <c r="G21" s="3135">
        <v>4.8309642606590018</v>
      </c>
      <c r="H21" s="3135"/>
      <c r="I21" s="3135">
        <v>4.8239925704939992</v>
      </c>
      <c r="J21" s="3135"/>
      <c r="K21" s="3135">
        <v>5.9439216980770002</v>
      </c>
      <c r="L21" s="3135"/>
      <c r="M21" s="3149">
        <v>5.9117956420723052</v>
      </c>
      <c r="N21" s="3150"/>
      <c r="O21" s="3149">
        <v>5.2332265272950007</v>
      </c>
      <c r="P21" s="3150"/>
      <c r="R21" s="417">
        <v>3277.1448644180005</v>
      </c>
      <c r="S21" s="112">
        <f t="shared" si="0"/>
        <v>3.2771448644180006</v>
      </c>
    </row>
    <row r="22" spans="2:19" ht="26.25" x14ac:dyDescent="0.3">
      <c r="B22" s="1273" t="s">
        <v>1056</v>
      </c>
      <c r="C22" s="3148">
        <f>C5+C10+C16</f>
        <v>258.18072794689056</v>
      </c>
      <c r="D22" s="3148"/>
      <c r="E22" s="3148">
        <f>E5+E10+E16</f>
        <v>229.30085703469308</v>
      </c>
      <c r="F22" s="3148"/>
      <c r="G22" s="3148">
        <f>G5+G10+G16</f>
        <v>250.25418326670462</v>
      </c>
      <c r="H22" s="3148"/>
      <c r="I22" s="3148">
        <f>I5+I10+I16</f>
        <v>263.04668820694684</v>
      </c>
      <c r="J22" s="3148"/>
      <c r="K22" s="3148">
        <f>K5+K10+K16</f>
        <v>272.5759373940765</v>
      </c>
      <c r="L22" s="3148"/>
      <c r="M22" s="3128">
        <v>280.4517702637952</v>
      </c>
      <c r="N22" s="3129"/>
      <c r="O22" s="3128">
        <v>281.49575431607497</v>
      </c>
      <c r="P22" s="3129"/>
      <c r="Q22" s="223"/>
      <c r="R22" s="1130">
        <f>+R16+R10+R5</f>
        <v>138130.56491686864</v>
      </c>
      <c r="S22" s="223">
        <f t="shared" si="0"/>
        <v>138.13056491686865</v>
      </c>
    </row>
    <row r="23" spans="2:19" ht="26.25" x14ac:dyDescent="0.25">
      <c r="B23" s="3151" t="s">
        <v>1057</v>
      </c>
      <c r="C23" s="3152"/>
      <c r="D23" s="3152"/>
      <c r="E23" s="3152"/>
      <c r="F23" s="3152"/>
      <c r="G23" s="3152"/>
      <c r="H23" s="3152"/>
      <c r="I23" s="3152"/>
      <c r="J23" s="3152"/>
      <c r="K23" s="3152"/>
      <c r="L23" s="3152"/>
      <c r="M23" s="3152"/>
      <c r="N23" s="3152"/>
      <c r="O23" s="3152"/>
      <c r="P23" s="3153"/>
    </row>
    <row r="24" spans="2:19" ht="26.25" x14ac:dyDescent="0.3">
      <c r="B24" s="1273" t="s">
        <v>1058</v>
      </c>
      <c r="C24" s="3148">
        <f>SUBTOTAL(9,C25:C30)</f>
        <v>4.7595615535333335</v>
      </c>
      <c r="D24" s="3148"/>
      <c r="E24" s="3148">
        <f>SUBTOTAL(9,E25:E30)</f>
        <v>4.212175427</v>
      </c>
      <c r="F24" s="3148"/>
      <c r="G24" s="3148">
        <f>SUBTOTAL(9,G25:G30)</f>
        <v>4.0513907009999999</v>
      </c>
      <c r="H24" s="3148"/>
      <c r="I24" s="3148">
        <f>SUBTOTAL(9,I25:I30)</f>
        <v>3.4924586070000001</v>
      </c>
      <c r="J24" s="3148"/>
      <c r="K24" s="3148">
        <f>SUBTOTAL(9,K25:K30)</f>
        <v>3.4820504049999998</v>
      </c>
      <c r="L24" s="3148"/>
      <c r="M24" s="3128">
        <v>3.3184008970000005</v>
      </c>
      <c r="N24" s="3129"/>
      <c r="O24" s="3128">
        <v>3.3832835480000005</v>
      </c>
      <c r="P24" s="3129"/>
      <c r="R24" s="223">
        <f>SUBTOTAL(9,R25:R30)</f>
        <v>1670.6225409999997</v>
      </c>
      <c r="S24" s="223">
        <f t="shared" si="0"/>
        <v>1.6706225409999997</v>
      </c>
    </row>
    <row r="25" spans="2:19" ht="26.25" x14ac:dyDescent="0.25">
      <c r="B25" s="1274" t="s">
        <v>1044</v>
      </c>
      <c r="C25" s="3135">
        <v>1.9566492049999999</v>
      </c>
      <c r="D25" s="3135"/>
      <c r="E25" s="3135">
        <v>1.8592647379999998</v>
      </c>
      <c r="F25" s="3135"/>
      <c r="G25" s="3135">
        <v>1.6492431890000001</v>
      </c>
      <c r="H25" s="3135"/>
      <c r="I25" s="3135">
        <v>1.6047110789999999</v>
      </c>
      <c r="J25" s="3135"/>
      <c r="K25" s="3135">
        <v>1.6795650099999997</v>
      </c>
      <c r="L25" s="3135"/>
      <c r="M25" s="3149">
        <v>1.4976526910000008</v>
      </c>
      <c r="N25" s="3150"/>
      <c r="O25" s="3149">
        <v>1.4087768740000002</v>
      </c>
      <c r="P25" s="3150"/>
      <c r="R25" s="112">
        <v>707.543047</v>
      </c>
      <c r="S25" s="112">
        <f t="shared" si="0"/>
        <v>0.70754304700000004</v>
      </c>
    </row>
    <row r="26" spans="2:19" ht="26.25" x14ac:dyDescent="0.25">
      <c r="B26" s="1277" t="s">
        <v>1046</v>
      </c>
      <c r="C26" s="3135">
        <v>1.1725257105333335</v>
      </c>
      <c r="D26" s="3135"/>
      <c r="E26" s="3135">
        <v>0.97495332800000001</v>
      </c>
      <c r="F26" s="3135"/>
      <c r="G26" s="3135">
        <v>0.970630624</v>
      </c>
      <c r="H26" s="3135"/>
      <c r="I26" s="3135">
        <v>0.96308828600000007</v>
      </c>
      <c r="J26" s="3135"/>
      <c r="K26" s="3135">
        <v>0.96160698</v>
      </c>
      <c r="L26" s="3135"/>
      <c r="M26" s="3149">
        <v>0.66589102699999991</v>
      </c>
      <c r="N26" s="3150"/>
      <c r="O26" s="3149">
        <v>0.85503780000000007</v>
      </c>
      <c r="P26" s="3150"/>
      <c r="R26" s="112">
        <v>410.22872199999995</v>
      </c>
      <c r="S26" s="112">
        <f t="shared" si="0"/>
        <v>0.41022872199999993</v>
      </c>
    </row>
    <row r="27" spans="2:19" ht="26.25" x14ac:dyDescent="0.25">
      <c r="B27" s="1277" t="s">
        <v>1059</v>
      </c>
      <c r="C27" s="3134">
        <v>5.0438277999999996E-2</v>
      </c>
      <c r="D27" s="3134"/>
      <c r="E27" s="3134">
        <v>3.2989810000000001E-2</v>
      </c>
      <c r="F27" s="3134"/>
      <c r="G27" s="3134">
        <v>1.8432990000000003E-2</v>
      </c>
      <c r="H27" s="3134"/>
      <c r="I27" s="3134">
        <v>-6.3568999999999323E-5</v>
      </c>
      <c r="J27" s="3134"/>
      <c r="K27" s="3134">
        <v>5.4134840000000005E-3</v>
      </c>
      <c r="L27" s="3134"/>
      <c r="M27" s="3149">
        <v>2.5279930000000005E-3</v>
      </c>
      <c r="N27" s="3150"/>
      <c r="O27" s="3149">
        <v>0</v>
      </c>
      <c r="P27" s="3150"/>
      <c r="R27" s="112">
        <v>0</v>
      </c>
      <c r="S27" s="112">
        <f t="shared" si="0"/>
        <v>0</v>
      </c>
    </row>
    <row r="28" spans="2:19" ht="26.25" x14ac:dyDescent="0.25">
      <c r="B28" s="1277" t="s">
        <v>1049</v>
      </c>
      <c r="C28" s="3134">
        <v>2.6052137999999996E-2</v>
      </c>
      <c r="D28" s="3134"/>
      <c r="E28" s="3134">
        <v>1.5368607999999999E-2</v>
      </c>
      <c r="F28" s="3134"/>
      <c r="G28" s="3134">
        <v>3.3171746000000002E-2</v>
      </c>
      <c r="H28" s="3134"/>
      <c r="I28" s="3134">
        <v>4.7198389E-2</v>
      </c>
      <c r="J28" s="3134"/>
      <c r="K28" s="3134">
        <v>3.6470985999999997E-2</v>
      </c>
      <c r="L28" s="3134"/>
      <c r="M28" s="3149">
        <v>2.7533174999999997E-2</v>
      </c>
      <c r="N28" s="3150"/>
      <c r="O28" s="3149">
        <v>2.5398074999999996E-2</v>
      </c>
      <c r="P28" s="3150"/>
      <c r="R28" s="112">
        <v>16.055168999999999</v>
      </c>
      <c r="S28" s="112">
        <f t="shared" si="0"/>
        <v>1.6055169000000001E-2</v>
      </c>
    </row>
    <row r="29" spans="2:19" ht="26.25" x14ac:dyDescent="0.25">
      <c r="B29" s="1277" t="s">
        <v>1050</v>
      </c>
      <c r="C29" s="3134">
        <v>5.8676819000000005E-2</v>
      </c>
      <c r="D29" s="3134"/>
      <c r="E29" s="3134">
        <v>5.8794584999999989E-2</v>
      </c>
      <c r="F29" s="3134"/>
      <c r="G29" s="3134">
        <v>4.8336671000000005E-2</v>
      </c>
      <c r="H29" s="3134"/>
      <c r="I29" s="3135">
        <v>5.9321144000000006E-2</v>
      </c>
      <c r="J29" s="3135"/>
      <c r="K29" s="3135">
        <v>5.8500236000000011E-2</v>
      </c>
      <c r="L29" s="3135"/>
      <c r="M29" s="3149">
        <v>3.0810010999999998E-2</v>
      </c>
      <c r="N29" s="3150"/>
      <c r="O29" s="3149">
        <v>4.422524600000001E-2</v>
      </c>
      <c r="P29" s="3150"/>
      <c r="R29" s="112">
        <v>26.406603</v>
      </c>
      <c r="S29" s="112">
        <f t="shared" si="0"/>
        <v>2.6406603000000001E-2</v>
      </c>
    </row>
    <row r="30" spans="2:19" ht="26.25" x14ac:dyDescent="0.25">
      <c r="B30" s="1277" t="s">
        <v>148</v>
      </c>
      <c r="C30" s="3135">
        <v>1.4952194029999999</v>
      </c>
      <c r="D30" s="3135"/>
      <c r="E30" s="3135">
        <v>1.2708043580000001</v>
      </c>
      <c r="F30" s="3135"/>
      <c r="G30" s="3135">
        <v>1.331575481</v>
      </c>
      <c r="H30" s="3135"/>
      <c r="I30" s="3135">
        <v>0.81820327799999981</v>
      </c>
      <c r="J30" s="3135"/>
      <c r="K30" s="3135">
        <v>0.74049370900000011</v>
      </c>
      <c r="L30" s="3135"/>
      <c r="M30" s="3149">
        <v>1.0939860000000001</v>
      </c>
      <c r="N30" s="3150"/>
      <c r="O30" s="3149">
        <v>1</v>
      </c>
      <c r="P30" s="3150"/>
      <c r="R30" s="112">
        <v>510.38900000000001</v>
      </c>
      <c r="S30" s="112">
        <f t="shared" si="0"/>
        <v>0.51038899999999998</v>
      </c>
    </row>
    <row r="31" spans="2:19" ht="52.5" x14ac:dyDescent="0.25">
      <c r="B31" s="1278" t="s">
        <v>1060</v>
      </c>
      <c r="C31" s="3148">
        <f>C22+C24</f>
        <v>262.94028950042389</v>
      </c>
      <c r="D31" s="3148"/>
      <c r="E31" s="3148">
        <f>E22+E24</f>
        <v>233.51303246169309</v>
      </c>
      <c r="F31" s="3148"/>
      <c r="G31" s="3148">
        <f>G22+G24</f>
        <v>254.30557396770462</v>
      </c>
      <c r="H31" s="3148"/>
      <c r="I31" s="3148">
        <f>I22+I24</f>
        <v>266.53914681394684</v>
      </c>
      <c r="J31" s="3148"/>
      <c r="K31" s="3148">
        <f>K22+K24</f>
        <v>276.0579877990765</v>
      </c>
      <c r="L31" s="3148"/>
      <c r="M31" s="3128">
        <v>283.7701716127952</v>
      </c>
      <c r="N31" s="3129"/>
      <c r="O31" s="3128">
        <v>284.87903786407492</v>
      </c>
      <c r="P31" s="3129"/>
    </row>
    <row r="32" spans="2:19" ht="46.5" x14ac:dyDescent="0.4">
      <c r="B32" s="1279" t="s">
        <v>2388</v>
      </c>
      <c r="C32" s="1280"/>
      <c r="D32" s="1280"/>
      <c r="E32" s="1280"/>
      <c r="F32" s="1281"/>
      <c r="G32" s="1281"/>
      <c r="H32" s="1281"/>
      <c r="I32" s="1281"/>
      <c r="J32" s="1281"/>
      <c r="K32" s="1281"/>
      <c r="L32" s="1281"/>
      <c r="M32" s="1281"/>
      <c r="N32" s="1281"/>
      <c r="O32" s="1281"/>
      <c r="P32" s="1176"/>
    </row>
    <row r="33" spans="2:20" ht="26.25" x14ac:dyDescent="0.4">
      <c r="B33" s="1282"/>
      <c r="C33" s="1283"/>
      <c r="D33" s="1283"/>
      <c r="E33" s="1283"/>
      <c r="F33" s="1281"/>
      <c r="G33" s="1281"/>
      <c r="H33" s="1281"/>
      <c r="I33" s="1281"/>
      <c r="J33" s="1281"/>
      <c r="K33" s="1281"/>
      <c r="L33" s="1281"/>
      <c r="M33" s="1281"/>
      <c r="N33" s="1281"/>
      <c r="O33" s="1281"/>
      <c r="P33" s="1176"/>
    </row>
    <row r="34" spans="2:20" ht="26.25" x14ac:dyDescent="0.4">
      <c r="B34" s="1282"/>
      <c r="C34" s="1283"/>
      <c r="D34" s="1283"/>
      <c r="E34" s="1283"/>
      <c r="F34" s="1281"/>
      <c r="G34" s="1281"/>
      <c r="H34" s="1281"/>
      <c r="I34" s="1281"/>
      <c r="J34" s="1281"/>
      <c r="K34" s="1281"/>
      <c r="L34" s="1281"/>
      <c r="M34" s="1281"/>
      <c r="N34" s="1281"/>
      <c r="O34" s="1281"/>
      <c r="P34" s="1176"/>
    </row>
    <row r="35" spans="2:20" ht="26.25" customHeight="1" x14ac:dyDescent="0.25">
      <c r="B35" s="3142" t="s">
        <v>1061</v>
      </c>
      <c r="C35" s="3142"/>
      <c r="D35" s="3142"/>
      <c r="E35" s="3142"/>
      <c r="F35" s="3142"/>
      <c r="G35" s="3142"/>
      <c r="H35" s="3142"/>
      <c r="I35" s="3142"/>
      <c r="J35" s="3142"/>
      <c r="K35" s="3142"/>
      <c r="L35" s="3142"/>
      <c r="M35" s="3142"/>
      <c r="N35" s="3142"/>
      <c r="O35" s="3142"/>
      <c r="P35" s="3142"/>
    </row>
    <row r="36" spans="2:20" ht="26.25" x14ac:dyDescent="0.25">
      <c r="B36" s="3143" t="s">
        <v>242</v>
      </c>
      <c r="C36" s="3144"/>
      <c r="D36" s="3144"/>
      <c r="E36" s="3144"/>
      <c r="F36" s="3144"/>
      <c r="G36" s="3144"/>
      <c r="H36" s="3144"/>
      <c r="I36" s="3144"/>
      <c r="J36" s="3144"/>
      <c r="K36" s="3144"/>
      <c r="L36" s="3144"/>
      <c r="M36" s="3144"/>
      <c r="N36" s="3144"/>
      <c r="O36" s="3144"/>
      <c r="P36" s="3145"/>
    </row>
    <row r="37" spans="2:20" ht="54.75" customHeight="1" x14ac:dyDescent="0.25">
      <c r="B37" s="1284" t="s">
        <v>1062</v>
      </c>
      <c r="C37" s="3146" t="s">
        <v>8</v>
      </c>
      <c r="D37" s="3147"/>
      <c r="E37" s="3146" t="s">
        <v>9</v>
      </c>
      <c r="F37" s="3147"/>
      <c r="G37" s="3130" t="s">
        <v>10</v>
      </c>
      <c r="H37" s="3131"/>
      <c r="I37" s="3130" t="s">
        <v>11</v>
      </c>
      <c r="J37" s="3131"/>
      <c r="K37" s="3130" t="s">
        <v>382</v>
      </c>
      <c r="L37" s="3131"/>
      <c r="M37" s="3130" t="s">
        <v>2309</v>
      </c>
      <c r="N37" s="3131"/>
      <c r="O37" s="3132" t="s">
        <v>2536</v>
      </c>
      <c r="P37" s="3133"/>
    </row>
    <row r="38" spans="2:20" ht="124.5" customHeight="1" x14ac:dyDescent="0.25">
      <c r="B38" s="1285"/>
      <c r="C38" s="1286" t="s">
        <v>1063</v>
      </c>
      <c r="D38" s="1286" t="s">
        <v>1064</v>
      </c>
      <c r="E38" s="1785" t="s">
        <v>1063</v>
      </c>
      <c r="F38" s="1785" t="s">
        <v>1064</v>
      </c>
      <c r="G38" s="1785" t="s">
        <v>1063</v>
      </c>
      <c r="H38" s="1785" t="s">
        <v>1064</v>
      </c>
      <c r="I38" s="1785" t="s">
        <v>1063</v>
      </c>
      <c r="J38" s="1785" t="s">
        <v>1064</v>
      </c>
      <c r="K38" s="1785" t="s">
        <v>1063</v>
      </c>
      <c r="L38" s="1785" t="s">
        <v>1064</v>
      </c>
      <c r="M38" s="1785" t="s">
        <v>1063</v>
      </c>
      <c r="N38" s="1785" t="s">
        <v>1064</v>
      </c>
      <c r="O38" s="1785" t="s">
        <v>1063</v>
      </c>
      <c r="P38" s="1785" t="s">
        <v>1064</v>
      </c>
    </row>
    <row r="39" spans="2:20" ht="26.25" x14ac:dyDescent="0.25">
      <c r="B39" s="1285" t="s">
        <v>1050</v>
      </c>
      <c r="C39" s="1275">
        <v>111.11997777225909</v>
      </c>
      <c r="D39" s="1287">
        <v>42.260536787033523</v>
      </c>
      <c r="E39" s="1275">
        <v>100.44142478252402</v>
      </c>
      <c r="F39" s="1287">
        <v>43.013198759688507</v>
      </c>
      <c r="G39" s="1275">
        <v>107.17568588596018</v>
      </c>
      <c r="H39" s="1287">
        <v>42.144450164340839</v>
      </c>
      <c r="I39" s="1275">
        <v>113.77610419516255</v>
      </c>
      <c r="J39" s="1287">
        <v>42.686451710818311</v>
      </c>
      <c r="K39" s="1275">
        <v>115.94283263346362</v>
      </c>
      <c r="L39" s="1287">
        <v>41.999448578843655</v>
      </c>
      <c r="M39" s="1276">
        <v>118.22116586198005</v>
      </c>
      <c r="N39" s="1276">
        <v>41.66081531801705</v>
      </c>
      <c r="O39" s="1288">
        <v>120.83727395945023</v>
      </c>
      <c r="P39" s="1784">
        <v>42.417046499962431</v>
      </c>
      <c r="R39" s="112">
        <v>59283.186537437687</v>
      </c>
      <c r="S39" s="112">
        <f t="shared" ref="S39:S50" si="1">+R39/1000</f>
        <v>59.283186537437686</v>
      </c>
      <c r="T39" s="1131"/>
    </row>
    <row r="40" spans="2:20" ht="26.25" x14ac:dyDescent="0.25">
      <c r="B40" s="1285" t="s">
        <v>1045</v>
      </c>
      <c r="C40" s="1275">
        <v>38.616484757760013</v>
      </c>
      <c r="D40" s="1287">
        <v>14.686408397560447</v>
      </c>
      <c r="E40" s="1275">
        <v>35.778534439795578</v>
      </c>
      <c r="F40" s="1287">
        <v>15.321857655060386</v>
      </c>
      <c r="G40" s="1275">
        <v>40.237937531400206</v>
      </c>
      <c r="H40" s="1287">
        <v>15.822672269271692</v>
      </c>
      <c r="I40" s="1275">
        <v>42.817124452342313</v>
      </c>
      <c r="J40" s="1287">
        <v>16.064103515057052</v>
      </c>
      <c r="K40" s="1275">
        <v>45.080559574073895</v>
      </c>
      <c r="L40" s="1287">
        <v>16.33010511070048</v>
      </c>
      <c r="M40" s="1276">
        <v>48.264588936806625</v>
      </c>
      <c r="N40" s="1276">
        <v>17.008309057312086</v>
      </c>
      <c r="O40" s="1288">
        <v>49.778968588928521</v>
      </c>
      <c r="P40" s="1784">
        <v>17.473721114110084</v>
      </c>
      <c r="R40" s="112">
        <v>24518.028819063769</v>
      </c>
      <c r="S40" s="112">
        <f t="shared" si="1"/>
        <v>24.518028819063769</v>
      </c>
      <c r="T40" s="1131"/>
    </row>
    <row r="41" spans="2:20" ht="26.25" x14ac:dyDescent="0.25">
      <c r="B41" s="1285" t="s">
        <v>1046</v>
      </c>
      <c r="C41" s="1275">
        <v>20.576862892989329</v>
      </c>
      <c r="D41" s="1287">
        <v>7.8256789524665651</v>
      </c>
      <c r="E41" s="1275">
        <v>19.380733507724003</v>
      </c>
      <c r="F41" s="1287">
        <v>8.2996367711953436</v>
      </c>
      <c r="G41" s="1275">
        <v>19.994035123044</v>
      </c>
      <c r="H41" s="1287">
        <v>7.8622087636911697</v>
      </c>
      <c r="I41" s="1275">
        <v>17.035980982318005</v>
      </c>
      <c r="J41" s="1287">
        <v>6.3915493037162321</v>
      </c>
      <c r="K41" s="1275">
        <v>18.274078490347001</v>
      </c>
      <c r="L41" s="1287">
        <v>6.6196521375963364</v>
      </c>
      <c r="M41" s="1276">
        <v>17.924407373656003</v>
      </c>
      <c r="N41" s="1276">
        <v>6.3165121053753639</v>
      </c>
      <c r="O41" s="1288">
        <v>18.354186982493001</v>
      </c>
      <c r="P41" s="1784">
        <v>6.4428001161848849</v>
      </c>
      <c r="R41" s="112">
        <v>9234.4492279350015</v>
      </c>
      <c r="S41" s="112">
        <f t="shared" si="1"/>
        <v>9.2344492279350021</v>
      </c>
      <c r="T41" s="1131"/>
    </row>
    <row r="42" spans="2:20" ht="26.25" x14ac:dyDescent="0.25">
      <c r="B42" s="1285" t="s">
        <v>1049</v>
      </c>
      <c r="C42" s="1275">
        <v>15.23801034814</v>
      </c>
      <c r="D42" s="1287">
        <v>5.7952360123629632</v>
      </c>
      <c r="E42" s="1275">
        <v>7.0921091454219995</v>
      </c>
      <c r="F42" s="1287">
        <v>3.0371363305324</v>
      </c>
      <c r="G42" s="1275">
        <v>10.293737271618999</v>
      </c>
      <c r="H42" s="1287">
        <v>4.0477827957189207</v>
      </c>
      <c r="I42" s="1275">
        <v>15.038890664204001</v>
      </c>
      <c r="J42" s="1287">
        <v>5.6422821352773536</v>
      </c>
      <c r="K42" s="1275">
        <v>17.124078880874997</v>
      </c>
      <c r="L42" s="1287">
        <v>6.2030731359740363</v>
      </c>
      <c r="M42" s="1276">
        <v>17.754527740008001</v>
      </c>
      <c r="N42" s="1276">
        <v>6.2566469873814823</v>
      </c>
      <c r="O42" s="1288">
        <v>16.432800551793996</v>
      </c>
      <c r="P42" s="1784">
        <v>5.7683431799691141</v>
      </c>
      <c r="R42" s="112">
        <v>8345.8469320040003</v>
      </c>
      <c r="S42" s="112">
        <f t="shared" si="1"/>
        <v>8.345846932004001</v>
      </c>
      <c r="T42" s="1131"/>
    </row>
    <row r="43" spans="2:20" ht="26.25" x14ac:dyDescent="0.25">
      <c r="B43" s="1285" t="s">
        <v>112</v>
      </c>
      <c r="C43" s="1275">
        <v>12.823298118727998</v>
      </c>
      <c r="D43" s="1287">
        <v>4.8768859816393118</v>
      </c>
      <c r="E43" s="1275">
        <v>12.072104962987</v>
      </c>
      <c r="F43" s="1287">
        <v>5.1697778217013992</v>
      </c>
      <c r="G43" s="1275">
        <v>12.238379335049</v>
      </c>
      <c r="H43" s="1287">
        <v>4.812469952626051</v>
      </c>
      <c r="I43" s="1275">
        <v>12.831133495493003</v>
      </c>
      <c r="J43" s="1287">
        <v>4.8139771020012896</v>
      </c>
      <c r="K43" s="1275">
        <v>12.778872405278401</v>
      </c>
      <c r="L43" s="1287">
        <v>4.6290536662823376</v>
      </c>
      <c r="M43" s="1276">
        <v>12.787802160320002</v>
      </c>
      <c r="N43" s="1276">
        <v>4.5063864853642395</v>
      </c>
      <c r="O43" s="1288">
        <v>13.110896025668801</v>
      </c>
      <c r="P43" s="1784">
        <v>4.6022677287770248</v>
      </c>
      <c r="R43" s="112">
        <v>6279.6074361740011</v>
      </c>
      <c r="S43" s="112">
        <f t="shared" si="1"/>
        <v>6.2796074361740013</v>
      </c>
      <c r="T43" s="1131"/>
    </row>
    <row r="44" spans="2:20" ht="26.25" x14ac:dyDescent="0.25">
      <c r="B44" s="1285" t="s">
        <v>1059</v>
      </c>
      <c r="C44" s="1275">
        <v>3.2106868388854228</v>
      </c>
      <c r="D44" s="1287">
        <v>1.2210707020158833</v>
      </c>
      <c r="E44" s="1275">
        <v>2.3932614774565777</v>
      </c>
      <c r="F44" s="1287">
        <v>1.0248941792356632</v>
      </c>
      <c r="G44" s="1275">
        <v>1.9132743500470002</v>
      </c>
      <c r="H44" s="1287">
        <v>0.75235250261953579</v>
      </c>
      <c r="I44" s="1275">
        <v>0.94067900703600005</v>
      </c>
      <c r="J44" s="1287">
        <v>0.35292339541126588</v>
      </c>
      <c r="K44" s="1275">
        <v>0.98311192544204118</v>
      </c>
      <c r="L44" s="1287">
        <v>0.35612515083518625</v>
      </c>
      <c r="M44" s="1276">
        <v>1.0084864425529998</v>
      </c>
      <c r="N44" s="1276">
        <v>0.35538786246597454</v>
      </c>
      <c r="O44" s="1288">
        <v>1.029916306391</v>
      </c>
      <c r="P44" s="1784">
        <v>0.36152758522106726</v>
      </c>
      <c r="R44" s="112">
        <v>558.66297248000001</v>
      </c>
      <c r="S44" s="112">
        <f t="shared" si="1"/>
        <v>0.55866297247999996</v>
      </c>
      <c r="T44" s="1131"/>
    </row>
    <row r="45" spans="2:20" ht="26.25" x14ac:dyDescent="0.25">
      <c r="B45" s="1285" t="s">
        <v>1054</v>
      </c>
      <c r="C45" s="1275">
        <v>4.8919013164340006</v>
      </c>
      <c r="D45" s="1287">
        <v>1.8604609151866447</v>
      </c>
      <c r="E45" s="1275">
        <v>4.9018265099519995</v>
      </c>
      <c r="F45" s="1287">
        <v>2.0991661400123882</v>
      </c>
      <c r="G45" s="1275">
        <v>5.1108422242180005</v>
      </c>
      <c r="H45" s="1287">
        <v>2.0097248143161224</v>
      </c>
      <c r="I45" s="1275">
        <v>4.9141497160969996</v>
      </c>
      <c r="J45" s="1287">
        <v>1.8436877940212058</v>
      </c>
      <c r="K45" s="1275">
        <v>5.2399738473939994</v>
      </c>
      <c r="L45" s="1287">
        <v>1.8981424479583664</v>
      </c>
      <c r="M45" s="1276">
        <v>5.3033462334439996</v>
      </c>
      <c r="N45" s="1276">
        <v>1.8688846991828447</v>
      </c>
      <c r="O45" s="1288">
        <v>5.3602829122320008</v>
      </c>
      <c r="P45" s="1784">
        <v>1.8815996264314705</v>
      </c>
      <c r="R45" s="112">
        <v>2202.8200374729995</v>
      </c>
      <c r="S45" s="112">
        <f t="shared" si="1"/>
        <v>2.2028200374729994</v>
      </c>
      <c r="T45" s="1131"/>
    </row>
    <row r="46" spans="2:20" ht="26.25" x14ac:dyDescent="0.25">
      <c r="B46" s="1285" t="s">
        <v>1414</v>
      </c>
      <c r="C46" s="1275">
        <v>9.2534463864179983</v>
      </c>
      <c r="D46" s="1287">
        <v>3.5192196692257309</v>
      </c>
      <c r="E46" s="1275">
        <v>7.430579180485001</v>
      </c>
      <c r="F46" s="1287">
        <v>3.1820832876657352</v>
      </c>
      <c r="G46" s="1275">
        <v>8.9211261018180021</v>
      </c>
      <c r="H46" s="1287">
        <v>3.5080340405558457</v>
      </c>
      <c r="I46" s="1275">
        <v>10.263274974552001</v>
      </c>
      <c r="J46" s="1287">
        <v>3.8505694556440173</v>
      </c>
      <c r="K46" s="1275">
        <v>10.442221163631999</v>
      </c>
      <c r="L46" s="1287">
        <v>3.7826187341596396</v>
      </c>
      <c r="M46" s="1276">
        <v>10.858739431840997</v>
      </c>
      <c r="N46" s="1276">
        <v>3.826590059046981</v>
      </c>
      <c r="O46" s="1288">
        <v>10.333501332835</v>
      </c>
      <c r="P46" s="1784">
        <v>3.6273294835281815</v>
      </c>
      <c r="R46" s="112">
        <v>5161.8519242440016</v>
      </c>
      <c r="S46" s="112">
        <f t="shared" si="1"/>
        <v>5.1618519242440017</v>
      </c>
      <c r="T46" s="1131"/>
    </row>
    <row r="47" spans="2:20" ht="26.25" x14ac:dyDescent="0.25">
      <c r="B47" s="1285" t="s">
        <v>1066</v>
      </c>
      <c r="C47" s="1275">
        <v>0.93180045199999995</v>
      </c>
      <c r="D47" s="1287">
        <v>0.35437720623582775</v>
      </c>
      <c r="E47" s="1275">
        <v>1.069292138</v>
      </c>
      <c r="F47" s="1287">
        <v>0.45791540057851504</v>
      </c>
      <c r="G47" s="1275">
        <v>1.173284652247</v>
      </c>
      <c r="H47" s="1287">
        <v>0.46136804394071229</v>
      </c>
      <c r="I47" s="1275">
        <v>1.4447278629999998</v>
      </c>
      <c r="J47" s="1287">
        <v>0.54203214809885614</v>
      </c>
      <c r="K47" s="1275">
        <v>1.3515869017860003</v>
      </c>
      <c r="L47" s="1287">
        <v>0.48960253335242265</v>
      </c>
      <c r="M47" s="1276">
        <v>1.2996821793390001</v>
      </c>
      <c r="N47" s="1276">
        <v>0.45800444320413608</v>
      </c>
      <c r="O47" s="1288">
        <v>1.4559633944199999</v>
      </c>
      <c r="P47" s="1784">
        <v>0.51108126639864859</v>
      </c>
      <c r="R47" s="112">
        <v>686.09107871399988</v>
      </c>
      <c r="S47" s="112">
        <f t="shared" si="1"/>
        <v>0.68609107871399988</v>
      </c>
      <c r="T47" s="1131"/>
    </row>
    <row r="48" spans="2:20" ht="26.25" x14ac:dyDescent="0.25">
      <c r="B48" s="1285" t="s">
        <v>1051</v>
      </c>
      <c r="C48" s="1275">
        <v>0.62027251723900001</v>
      </c>
      <c r="D48" s="1287">
        <v>0.23589862109663495</v>
      </c>
      <c r="E48" s="1275">
        <v>0.72858068646900009</v>
      </c>
      <c r="F48" s="1287">
        <v>0.31200857561923045</v>
      </c>
      <c r="G48" s="1275">
        <v>0.80502336542000008</v>
      </c>
      <c r="H48" s="1287">
        <v>0.3165574992556921</v>
      </c>
      <c r="I48" s="1275">
        <v>0.64630650278300006</v>
      </c>
      <c r="J48" s="1287">
        <v>0.24248089277262652</v>
      </c>
      <c r="K48" s="1275">
        <v>0.65729886247200009</v>
      </c>
      <c r="L48" s="1287">
        <v>0.23810173641865506</v>
      </c>
      <c r="M48" s="1276">
        <v>0.63179692008099986</v>
      </c>
      <c r="N48" s="1276">
        <v>0.22264350561993068</v>
      </c>
      <c r="O48" s="1288">
        <v>0.69059645834600003</v>
      </c>
      <c r="P48" s="1784">
        <v>0.24241743566808385</v>
      </c>
      <c r="R48" s="112">
        <v>383.65148298600002</v>
      </c>
      <c r="S48" s="112">
        <f t="shared" si="1"/>
        <v>0.38365148298599999</v>
      </c>
      <c r="T48" s="1131"/>
    </row>
    <row r="49" spans="2:20" ht="26.25" x14ac:dyDescent="0.25">
      <c r="B49" s="1285" t="s">
        <v>1055</v>
      </c>
      <c r="C49" s="1275">
        <v>14.649820991994217</v>
      </c>
      <c r="D49" s="1287">
        <v>5.571539082058627</v>
      </c>
      <c r="E49" s="1275">
        <v>12.039540611027512</v>
      </c>
      <c r="F49" s="1287">
        <v>5.1558324107681432</v>
      </c>
      <c r="G49" s="1275">
        <v>15.508445110067333</v>
      </c>
      <c r="H49" s="1287">
        <v>6.0983504482826714</v>
      </c>
      <c r="I49" s="1275">
        <v>15.386658924672387</v>
      </c>
      <c r="J49" s="1287">
        <v>5.7727576262607254</v>
      </c>
      <c r="K49" s="1275">
        <v>15.054181391506081</v>
      </c>
      <c r="L49" s="1287">
        <v>5.453267812146402</v>
      </c>
      <c r="M49" s="1276">
        <v>14.963431237397714</v>
      </c>
      <c r="N49" s="1276">
        <v>5.2730722181581475</v>
      </c>
      <c r="O49" s="1288">
        <v>14.770869129194478</v>
      </c>
      <c r="P49" s="1784">
        <v>5.1849617437426687</v>
      </c>
      <c r="R49" s="112">
        <v>7057.16514139432</v>
      </c>
      <c r="S49" s="112">
        <f t="shared" si="1"/>
        <v>7.0571651413943197</v>
      </c>
      <c r="T49" s="1131"/>
    </row>
    <row r="50" spans="2:20" ht="26.25" x14ac:dyDescent="0.25">
      <c r="B50" s="1285" t="s">
        <v>2342</v>
      </c>
      <c r="C50" s="1275">
        <v>31.007727107576862</v>
      </c>
      <c r="D50" s="1287">
        <v>11.792687673117843</v>
      </c>
      <c r="E50" s="1275">
        <v>30.185045019850424</v>
      </c>
      <c r="F50" s="1287">
        <v>12.926492667942274</v>
      </c>
      <c r="G50" s="1275">
        <v>30.933803016814892</v>
      </c>
      <c r="H50" s="1287">
        <v>12.164028705380762</v>
      </c>
      <c r="I50" s="1275">
        <v>31.444116036286601</v>
      </c>
      <c r="J50" s="1287">
        <v>11.797184920921067</v>
      </c>
      <c r="K50" s="1275">
        <v>33.129191722806468</v>
      </c>
      <c r="L50" s="1287">
        <v>12.000808955732486</v>
      </c>
      <c r="M50" s="1276">
        <v>34.752674135368849</v>
      </c>
      <c r="N50" s="1276">
        <v>12.246747258871773</v>
      </c>
      <c r="O50" s="1288">
        <v>32.72378222232188</v>
      </c>
      <c r="P50" s="1784">
        <v>11.486904220006339</v>
      </c>
      <c r="R50" s="112">
        <v>15936.897502548494</v>
      </c>
      <c r="S50" s="112">
        <f t="shared" si="1"/>
        <v>15.936897502548494</v>
      </c>
      <c r="T50" s="1131"/>
    </row>
    <row r="51" spans="2:20" ht="26.25" x14ac:dyDescent="0.25">
      <c r="B51" s="1289" t="s">
        <v>133</v>
      </c>
      <c r="C51" s="1290">
        <f t="shared" ref="C51:M51" si="2">SUM(C39:C50)</f>
        <v>262.94028950042394</v>
      </c>
      <c r="D51" s="1290">
        <f t="shared" si="2"/>
        <v>99.999999999999986</v>
      </c>
      <c r="E51" s="1290">
        <f t="shared" si="2"/>
        <v>233.51303246169314</v>
      </c>
      <c r="F51" s="1290">
        <f t="shared" si="2"/>
        <v>99.999999999999972</v>
      </c>
      <c r="G51" s="1290">
        <f t="shared" si="2"/>
        <v>254.30557396770459</v>
      </c>
      <c r="H51" s="1290">
        <f t="shared" si="2"/>
        <v>99.999999999999986</v>
      </c>
      <c r="I51" s="1290">
        <f t="shared" si="2"/>
        <v>266.53914681394684</v>
      </c>
      <c r="J51" s="1290">
        <f t="shared" si="2"/>
        <v>100.00000000000001</v>
      </c>
      <c r="K51" s="1290">
        <f t="shared" si="2"/>
        <v>276.0579877990765</v>
      </c>
      <c r="L51" s="1290">
        <f t="shared" si="2"/>
        <v>100</v>
      </c>
      <c r="M51" s="1291">
        <f t="shared" si="2"/>
        <v>283.77064865279522</v>
      </c>
      <c r="N51" s="1276">
        <v>100</v>
      </c>
      <c r="O51" s="1291">
        <v>284.87903786407492</v>
      </c>
      <c r="P51" s="1784">
        <v>100</v>
      </c>
      <c r="T51" s="1131"/>
    </row>
    <row r="52" spans="2:20" ht="25.5" customHeight="1" x14ac:dyDescent="0.25">
      <c r="B52" s="3136" t="s">
        <v>2389</v>
      </c>
      <c r="C52" s="3137"/>
      <c r="D52" s="3137"/>
      <c r="E52" s="3137"/>
      <c r="F52" s="3137"/>
      <c r="G52" s="3137"/>
      <c r="H52" s="3137"/>
      <c r="I52" s="3137"/>
      <c r="J52" s="3137"/>
      <c r="K52" s="3137"/>
      <c r="L52" s="3137"/>
      <c r="M52" s="3137"/>
      <c r="N52" s="3137"/>
      <c r="O52" s="3137"/>
      <c r="P52" s="3138"/>
    </row>
    <row r="53" spans="2:20" ht="56.25" customHeight="1" x14ac:dyDescent="0.25">
      <c r="B53" s="3139"/>
      <c r="C53" s="3140"/>
      <c r="D53" s="3140"/>
      <c r="E53" s="3140"/>
      <c r="F53" s="3140"/>
      <c r="G53" s="3140"/>
      <c r="H53" s="3140"/>
      <c r="I53" s="3140"/>
      <c r="J53" s="3140"/>
      <c r="K53" s="3140"/>
      <c r="L53" s="3140"/>
      <c r="M53" s="3140"/>
      <c r="N53" s="3140"/>
      <c r="O53" s="3140"/>
      <c r="P53" s="3141"/>
    </row>
    <row r="64" spans="2:20" ht="1.5" customHeight="1" x14ac:dyDescent="0.25"/>
  </sheetData>
  <mergeCells count="203">
    <mergeCell ref="O26:P26"/>
    <mergeCell ref="O27:P27"/>
    <mergeCell ref="O28:P28"/>
    <mergeCell ref="O29:P29"/>
    <mergeCell ref="O30:P30"/>
    <mergeCell ref="C6:D6"/>
    <mergeCell ref="E6:F6"/>
    <mergeCell ref="G6:H6"/>
    <mergeCell ref="I6:J6"/>
    <mergeCell ref="M25:N25"/>
    <mergeCell ref="M26:N26"/>
    <mergeCell ref="M27:N27"/>
    <mergeCell ref="M28:N28"/>
    <mergeCell ref="M29:N29"/>
    <mergeCell ref="M20:N20"/>
    <mergeCell ref="M21:N21"/>
    <mergeCell ref="M22:N22"/>
    <mergeCell ref="O13:P13"/>
    <mergeCell ref="O14:P14"/>
    <mergeCell ref="O15:P15"/>
    <mergeCell ref="O16:P16"/>
    <mergeCell ref="O20:P20"/>
    <mergeCell ref="O21:P21"/>
    <mergeCell ref="O22:P22"/>
    <mergeCell ref="B1:P1"/>
    <mergeCell ref="B2:P2"/>
    <mergeCell ref="C3:D3"/>
    <mergeCell ref="E3:F3"/>
    <mergeCell ref="G3:H3"/>
    <mergeCell ref="I3:J3"/>
    <mergeCell ref="K3:L3"/>
    <mergeCell ref="C5:D5"/>
    <mergeCell ref="E5:F5"/>
    <mergeCell ref="G5:H5"/>
    <mergeCell ref="I5:J5"/>
    <mergeCell ref="K5:L5"/>
    <mergeCell ref="B4:P4"/>
    <mergeCell ref="K6:L6"/>
    <mergeCell ref="C7:D7"/>
    <mergeCell ref="O3:P3"/>
    <mergeCell ref="O5:P5"/>
    <mergeCell ref="O6:P6"/>
    <mergeCell ref="M13:N13"/>
    <mergeCell ref="M14:N14"/>
    <mergeCell ref="M15:N15"/>
    <mergeCell ref="M16:N16"/>
    <mergeCell ref="E7:F7"/>
    <mergeCell ref="G7:H7"/>
    <mergeCell ref="I7:J7"/>
    <mergeCell ref="K7:L7"/>
    <mergeCell ref="C8:D8"/>
    <mergeCell ref="E8:F8"/>
    <mergeCell ref="G8:H8"/>
    <mergeCell ref="I8:J8"/>
    <mergeCell ref="K8:L8"/>
    <mergeCell ref="C9:D9"/>
    <mergeCell ref="E9:F9"/>
    <mergeCell ref="G9:H9"/>
    <mergeCell ref="I9:J9"/>
    <mergeCell ref="K9:L9"/>
    <mergeCell ref="I10:J10"/>
    <mergeCell ref="M17:N17"/>
    <mergeCell ref="M18:N18"/>
    <mergeCell ref="O17:P17"/>
    <mergeCell ref="O18:P18"/>
    <mergeCell ref="O19:P19"/>
    <mergeCell ref="M3:N3"/>
    <mergeCell ref="M5:N5"/>
    <mergeCell ref="M6:N6"/>
    <mergeCell ref="M7:N7"/>
    <mergeCell ref="M8:N8"/>
    <mergeCell ref="M9:N9"/>
    <mergeCell ref="M10:N10"/>
    <mergeCell ref="M11:N11"/>
    <mergeCell ref="M12:N12"/>
    <mergeCell ref="O7:P7"/>
    <mergeCell ref="O8:P8"/>
    <mergeCell ref="O9:P9"/>
    <mergeCell ref="O10:P10"/>
    <mergeCell ref="O11:P11"/>
    <mergeCell ref="O12:P12"/>
    <mergeCell ref="M19:N19"/>
    <mergeCell ref="K10:L10"/>
    <mergeCell ref="C11:D11"/>
    <mergeCell ref="E11:F11"/>
    <mergeCell ref="G11:H11"/>
    <mergeCell ref="I11:J11"/>
    <mergeCell ref="K11:L11"/>
    <mergeCell ref="C12:D12"/>
    <mergeCell ref="E12:F12"/>
    <mergeCell ref="G12:H12"/>
    <mergeCell ref="I12:J12"/>
    <mergeCell ref="K12:L12"/>
    <mergeCell ref="C10:D10"/>
    <mergeCell ref="E10:F10"/>
    <mergeCell ref="G10:H10"/>
    <mergeCell ref="C13:D13"/>
    <mergeCell ref="E13:F13"/>
    <mergeCell ref="G13:H13"/>
    <mergeCell ref="I13:J13"/>
    <mergeCell ref="K13:L13"/>
    <mergeCell ref="C14:D14"/>
    <mergeCell ref="E14:F14"/>
    <mergeCell ref="G14:H14"/>
    <mergeCell ref="I14:J14"/>
    <mergeCell ref="K14:L14"/>
    <mergeCell ref="C15:D15"/>
    <mergeCell ref="E15:F15"/>
    <mergeCell ref="G15:H15"/>
    <mergeCell ref="I15:J15"/>
    <mergeCell ref="K15:L15"/>
    <mergeCell ref="C16:D16"/>
    <mergeCell ref="E16:F16"/>
    <mergeCell ref="G16:H16"/>
    <mergeCell ref="I16:J16"/>
    <mergeCell ref="K16:L16"/>
    <mergeCell ref="C17:D17"/>
    <mergeCell ref="E17:F17"/>
    <mergeCell ref="G17:H17"/>
    <mergeCell ref="I17:J17"/>
    <mergeCell ref="K17:L17"/>
    <mergeCell ref="C18:D18"/>
    <mergeCell ref="E18:F18"/>
    <mergeCell ref="G18:H18"/>
    <mergeCell ref="I18:J18"/>
    <mergeCell ref="K18:L18"/>
    <mergeCell ref="C19:D19"/>
    <mergeCell ref="E19:F19"/>
    <mergeCell ref="G19:H19"/>
    <mergeCell ref="I19:J19"/>
    <mergeCell ref="K19:L19"/>
    <mergeCell ref="C20:D20"/>
    <mergeCell ref="E20:F20"/>
    <mergeCell ref="G20:H20"/>
    <mergeCell ref="I20:J20"/>
    <mergeCell ref="K20:L20"/>
    <mergeCell ref="C21:D21"/>
    <mergeCell ref="E21:F21"/>
    <mergeCell ref="G21:H21"/>
    <mergeCell ref="I21:J21"/>
    <mergeCell ref="K21:L21"/>
    <mergeCell ref="C22:D22"/>
    <mergeCell ref="E22:F22"/>
    <mergeCell ref="G22:H22"/>
    <mergeCell ref="I22:J22"/>
    <mergeCell ref="K22:L22"/>
    <mergeCell ref="C24:D24"/>
    <mergeCell ref="E24:F24"/>
    <mergeCell ref="G24:H24"/>
    <mergeCell ref="I24:J24"/>
    <mergeCell ref="K24:L24"/>
    <mergeCell ref="B23:P23"/>
    <mergeCell ref="M24:N24"/>
    <mergeCell ref="O24:P24"/>
    <mergeCell ref="C25:D25"/>
    <mergeCell ref="E25:F25"/>
    <mergeCell ref="G25:H25"/>
    <mergeCell ref="I25:J25"/>
    <mergeCell ref="K25:L25"/>
    <mergeCell ref="O25:P25"/>
    <mergeCell ref="C26:D26"/>
    <mergeCell ref="E26:F26"/>
    <mergeCell ref="G26:H26"/>
    <mergeCell ref="I26:J26"/>
    <mergeCell ref="K26:L26"/>
    <mergeCell ref="I31:J31"/>
    <mergeCell ref="K31:L31"/>
    <mergeCell ref="M31:N31"/>
    <mergeCell ref="C27:D27"/>
    <mergeCell ref="E27:F27"/>
    <mergeCell ref="G27:H27"/>
    <mergeCell ref="I27:J27"/>
    <mergeCell ref="K27:L27"/>
    <mergeCell ref="C28:D28"/>
    <mergeCell ref="E28:F28"/>
    <mergeCell ref="G28:H28"/>
    <mergeCell ref="I28:J28"/>
    <mergeCell ref="K28:L28"/>
    <mergeCell ref="M30:N30"/>
    <mergeCell ref="O31:P31"/>
    <mergeCell ref="M37:N37"/>
    <mergeCell ref="O37:P37"/>
    <mergeCell ref="C29:D29"/>
    <mergeCell ref="E29:F29"/>
    <mergeCell ref="G29:H29"/>
    <mergeCell ref="I29:J29"/>
    <mergeCell ref="K29:L29"/>
    <mergeCell ref="B52:P53"/>
    <mergeCell ref="B35:P35"/>
    <mergeCell ref="B36:P36"/>
    <mergeCell ref="C37:D37"/>
    <mergeCell ref="E37:F37"/>
    <mergeCell ref="G37:H37"/>
    <mergeCell ref="I37:J37"/>
    <mergeCell ref="K37:L37"/>
    <mergeCell ref="C30:D30"/>
    <mergeCell ref="E30:F30"/>
    <mergeCell ref="G30:H30"/>
    <mergeCell ref="I30:J30"/>
    <mergeCell ref="K30:L30"/>
    <mergeCell ref="C31:D31"/>
    <mergeCell ref="E31:F31"/>
    <mergeCell ref="G31:H31"/>
  </mergeCells>
  <hyperlinks>
    <hyperlink ref="A1" location="CONTENTS!A1" display="Home" xr:uid="{C75F91BD-651B-41D1-8909-CBBB677580A0}"/>
  </hyperlinks>
  <pageMargins left="0.70866141732283472" right="0.70866141732283472" top="0.74803149606299213" bottom="0.74803149606299213" header="0.31496062992125984" footer="0.31496062992125984"/>
  <pageSetup paperSize="9" scale="40"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C2577F-D472-45B4-A82C-D8849F8C269F}">
  <sheetPr codeName="Sheet45">
    <tabColor theme="0"/>
    <pageSetUpPr fitToPage="1"/>
  </sheetPr>
  <dimension ref="A1:E63"/>
  <sheetViews>
    <sheetView showGridLines="0" view="pageLayout" topLeftCell="B15" zoomScale="80" zoomScaleNormal="100" zoomScalePageLayoutView="80" workbookViewId="0">
      <selection activeCell="E33" sqref="E33"/>
    </sheetView>
  </sheetViews>
  <sheetFormatPr defaultColWidth="9.140625" defaultRowHeight="50.25" customHeight="1" x14ac:dyDescent="0.25"/>
  <cols>
    <col min="1" max="1" width="0" style="112" hidden="1" customWidth="1"/>
    <col min="2" max="2" width="20.85546875" style="112" customWidth="1"/>
    <col min="3" max="3" width="18.5703125" style="112" customWidth="1"/>
    <col min="4" max="4" width="28.7109375" style="112" customWidth="1"/>
    <col min="5" max="5" width="22.7109375" style="112" customWidth="1"/>
    <col min="6" max="7" width="9.140625" style="112"/>
    <col min="8" max="8" width="10.5703125" style="112" bestFit="1" customWidth="1"/>
    <col min="9" max="16384" width="9.140625" style="112"/>
  </cols>
  <sheetData>
    <row r="1" spans="1:5" ht="27" customHeight="1" x14ac:dyDescent="0.25">
      <c r="A1" s="444" t="s">
        <v>296</v>
      </c>
      <c r="B1" s="2792" t="s">
        <v>1067</v>
      </c>
      <c r="C1" s="2792"/>
      <c r="D1" s="2792"/>
      <c r="E1" s="2792"/>
    </row>
    <row r="2" spans="1:5" ht="14.45" customHeight="1" x14ac:dyDescent="0.25">
      <c r="B2" s="3172" t="s">
        <v>242</v>
      </c>
      <c r="C2" s="3172"/>
      <c r="D2" s="3172"/>
      <c r="E2" s="3172"/>
    </row>
    <row r="3" spans="1:5" ht="32.25" customHeight="1" x14ac:dyDescent="0.25">
      <c r="B3" s="3174" t="s">
        <v>298</v>
      </c>
      <c r="C3" s="31" t="s">
        <v>1068</v>
      </c>
      <c r="D3" s="31" t="s">
        <v>1069</v>
      </c>
      <c r="E3" s="31" t="s">
        <v>2772</v>
      </c>
    </row>
    <row r="4" spans="1:5" ht="15" customHeight="1" x14ac:dyDescent="0.25">
      <c r="B4" s="3175"/>
      <c r="C4" s="18" t="s">
        <v>1070</v>
      </c>
      <c r="D4" s="18" t="s">
        <v>1071</v>
      </c>
      <c r="E4" s="18" t="s">
        <v>1072</v>
      </c>
    </row>
    <row r="5" spans="1:5" ht="15" customHeight="1" x14ac:dyDescent="0.25">
      <c r="B5" s="447" t="s">
        <v>1073</v>
      </c>
      <c r="C5" s="392">
        <v>84.29</v>
      </c>
      <c r="D5" s="392">
        <v>64.700999999999993</v>
      </c>
      <c r="E5" s="392">
        <f>+D5-C5</f>
        <v>-19.589000000000013</v>
      </c>
    </row>
    <row r="6" spans="1:5" ht="15" customHeight="1" x14ac:dyDescent="0.25">
      <c r="B6" s="447" t="s">
        <v>1074</v>
      </c>
      <c r="C6" s="392">
        <v>90.561999999999998</v>
      </c>
      <c r="D6" s="392">
        <v>68.409000000000006</v>
      </c>
      <c r="E6" s="392">
        <f t="shared" ref="E6:E31" si="0">+D6-C6</f>
        <v>-22.152999999999992</v>
      </c>
    </row>
    <row r="7" spans="1:5" ht="15" customHeight="1" x14ac:dyDescent="0.25">
      <c r="B7" s="447" t="s">
        <v>1075</v>
      </c>
      <c r="C7" s="392">
        <v>97.085999999999999</v>
      </c>
      <c r="D7" s="392">
        <v>82.936000000000007</v>
      </c>
      <c r="E7" s="392">
        <f t="shared" si="0"/>
        <v>-14.149999999999991</v>
      </c>
    </row>
    <row r="8" spans="1:5" ht="15" customHeight="1" x14ac:dyDescent="0.25">
      <c r="B8" s="447" t="s">
        <v>1076</v>
      </c>
      <c r="C8" s="392">
        <v>100.075</v>
      </c>
      <c r="D8" s="392">
        <v>99.578000000000003</v>
      </c>
      <c r="E8" s="392">
        <f t="shared" si="0"/>
        <v>-0.49699999999999989</v>
      </c>
    </row>
    <row r="9" spans="1:5" ht="15" customHeight="1" x14ac:dyDescent="0.25">
      <c r="B9" s="447" t="s">
        <v>1077</v>
      </c>
      <c r="C9" s="392">
        <v>100.432</v>
      </c>
      <c r="D9" s="392">
        <v>104.343</v>
      </c>
      <c r="E9" s="392">
        <f t="shared" si="0"/>
        <v>3.9110000000000014</v>
      </c>
    </row>
    <row r="10" spans="1:5" ht="15" customHeight="1" x14ac:dyDescent="0.25">
      <c r="B10" s="447" t="s">
        <v>1078</v>
      </c>
      <c r="C10" s="392">
        <v>104.126</v>
      </c>
      <c r="D10" s="392">
        <v>108.67400000000001</v>
      </c>
      <c r="E10" s="392">
        <f t="shared" si="0"/>
        <v>4.5480000000000018</v>
      </c>
    </row>
    <row r="11" spans="1:5" ht="15" customHeight="1" x14ac:dyDescent="0.25">
      <c r="B11" s="447" t="s">
        <v>1079</v>
      </c>
      <c r="C11" s="392">
        <v>107.751</v>
      </c>
      <c r="D11" s="392">
        <v>117.64</v>
      </c>
      <c r="E11" s="392">
        <f t="shared" si="0"/>
        <v>9.8889999999999958</v>
      </c>
    </row>
    <row r="12" spans="1:5" ht="15" customHeight="1" x14ac:dyDescent="0.25">
      <c r="B12" s="447" t="s">
        <v>1080</v>
      </c>
      <c r="C12" s="392">
        <v>111.634</v>
      </c>
      <c r="D12" s="392">
        <v>123.277045</v>
      </c>
      <c r="E12" s="392">
        <f t="shared" si="0"/>
        <v>11.643045000000001</v>
      </c>
    </row>
    <row r="13" spans="1:5" ht="15" customHeight="1" x14ac:dyDescent="0.25">
      <c r="B13" s="447" t="s">
        <v>1081</v>
      </c>
      <c r="C13" s="392">
        <v>113.21299999999999</v>
      </c>
      <c r="D13" s="392">
        <v>124.6180004535607</v>
      </c>
      <c r="E13" s="392">
        <f t="shared" si="0"/>
        <v>11.405000453560703</v>
      </c>
    </row>
    <row r="14" spans="1:5" ht="15" customHeight="1" x14ac:dyDescent="0.25">
      <c r="B14" s="447" t="s">
        <v>1082</v>
      </c>
      <c r="C14" s="392">
        <v>120.749</v>
      </c>
      <c r="D14" s="392">
        <v>140.61814431587169</v>
      </c>
      <c r="E14" s="392">
        <f t="shared" si="0"/>
        <v>19.869144315871694</v>
      </c>
    </row>
    <row r="15" spans="1:5" ht="17.25" customHeight="1" x14ac:dyDescent="0.25">
      <c r="B15" s="1457" t="s">
        <v>1083</v>
      </c>
      <c r="C15" s="392">
        <v>128.946</v>
      </c>
      <c r="D15" s="392">
        <v>150.41228832482901</v>
      </c>
      <c r="E15" s="392">
        <f t="shared" si="0"/>
        <v>21.466288324829009</v>
      </c>
    </row>
    <row r="16" spans="1:5" ht="15" customHeight="1" x14ac:dyDescent="0.25">
      <c r="B16" s="447" t="s">
        <v>1084</v>
      </c>
      <c r="C16" s="392">
        <v>133.59899999999999</v>
      </c>
      <c r="D16" s="392">
        <v>157.93302700000001</v>
      </c>
      <c r="E16" s="392">
        <f t="shared" si="0"/>
        <v>24.33402700000002</v>
      </c>
    </row>
    <row r="17" spans="2:5" ht="15" customHeight="1" x14ac:dyDescent="0.25">
      <c r="B17" s="447" t="s">
        <v>1085</v>
      </c>
      <c r="C17" s="392">
        <v>137.80799999999999</v>
      </c>
      <c r="D17" s="392">
        <v>185.53331500000002</v>
      </c>
      <c r="E17" s="392">
        <f t="shared" si="0"/>
        <v>47.725315000000023</v>
      </c>
    </row>
    <row r="18" spans="2:5" ht="15" customHeight="1" x14ac:dyDescent="0.25">
      <c r="B18" s="447" t="s">
        <v>1086</v>
      </c>
      <c r="C18" s="392">
        <v>141</v>
      </c>
      <c r="D18" s="392">
        <v>196.1712662894974</v>
      </c>
      <c r="E18" s="392">
        <f t="shared" si="0"/>
        <v>55.171266289497396</v>
      </c>
    </row>
    <row r="19" spans="2:5" ht="15" customHeight="1" x14ac:dyDescent="0.25">
      <c r="B19" s="447" t="s">
        <v>1087</v>
      </c>
      <c r="C19" s="392">
        <v>148.13200000000001</v>
      </c>
      <c r="D19" s="392">
        <v>204.45316183636288</v>
      </c>
      <c r="E19" s="392">
        <f t="shared" si="0"/>
        <v>56.321161836362876</v>
      </c>
    </row>
    <row r="20" spans="2:5" ht="15" customHeight="1" x14ac:dyDescent="0.25">
      <c r="B20" s="447" t="s">
        <v>1088</v>
      </c>
      <c r="C20" s="392">
        <v>157.07</v>
      </c>
      <c r="D20" s="392">
        <v>218.24771450508391</v>
      </c>
      <c r="E20" s="392">
        <f t="shared" si="0"/>
        <v>61.177714505083912</v>
      </c>
    </row>
    <row r="21" spans="2:5" ht="15" customHeight="1" x14ac:dyDescent="0.25">
      <c r="B21" s="236" t="s">
        <v>1089</v>
      </c>
      <c r="C21" s="392">
        <v>158.4</v>
      </c>
      <c r="D21" s="392">
        <v>220.74035506262553</v>
      </c>
      <c r="E21" s="392">
        <f t="shared" si="0"/>
        <v>62.34035506262552</v>
      </c>
    </row>
    <row r="22" spans="2:5" ht="15" customHeight="1" x14ac:dyDescent="0.25">
      <c r="B22" s="236" t="s">
        <v>1090</v>
      </c>
      <c r="C22" s="392">
        <v>165.52</v>
      </c>
      <c r="D22" s="392">
        <v>221.07685564536851</v>
      </c>
      <c r="E22" s="392">
        <f t="shared" si="0"/>
        <v>55.556855645368501</v>
      </c>
    </row>
    <row r="23" spans="2:5" ht="15" customHeight="1" x14ac:dyDescent="0.25">
      <c r="B23" s="236" t="s">
        <v>1091</v>
      </c>
      <c r="C23" s="392">
        <v>184.67400000000001</v>
      </c>
      <c r="D23" s="392">
        <v>231.86649011211051</v>
      </c>
      <c r="E23" s="392">
        <f t="shared" si="0"/>
        <v>47.192490112110505</v>
      </c>
    </row>
    <row r="24" spans="2:5" ht="15" customHeight="1" x14ac:dyDescent="0.25">
      <c r="B24" s="448" t="s">
        <v>1092</v>
      </c>
      <c r="C24" s="216">
        <v>194.59700000000001</v>
      </c>
      <c r="D24" s="216">
        <v>243.51490546708956</v>
      </c>
      <c r="E24" s="392">
        <f t="shared" si="0"/>
        <v>48.917905467089554</v>
      </c>
    </row>
    <row r="25" spans="2:5" ht="15" customHeight="1" x14ac:dyDescent="0.25">
      <c r="B25" s="448" t="s">
        <v>897</v>
      </c>
      <c r="C25" s="216">
        <v>206.16616683999962</v>
      </c>
      <c r="D25" s="392">
        <v>254.28850262720516</v>
      </c>
      <c r="E25" s="392">
        <f t="shared" si="0"/>
        <v>48.122335787205543</v>
      </c>
    </row>
    <row r="26" spans="2:5" ht="15" customHeight="1" x14ac:dyDescent="0.25">
      <c r="B26" s="448" t="s">
        <v>7</v>
      </c>
      <c r="C26" s="392">
        <v>213.21700000000004</v>
      </c>
      <c r="D26" s="392">
        <v>262.35621910515567</v>
      </c>
      <c r="E26" s="392">
        <f>+D26-C26</f>
        <v>49.139219105155632</v>
      </c>
    </row>
    <row r="27" spans="2:5" ht="15" customHeight="1" x14ac:dyDescent="0.25">
      <c r="B27" s="236" t="s">
        <v>8</v>
      </c>
      <c r="C27" s="216">
        <v>214.12662644978454</v>
      </c>
      <c r="D27" s="216">
        <v>262.94028950042394</v>
      </c>
      <c r="E27" s="216">
        <f t="shared" si="0"/>
        <v>48.813663050639406</v>
      </c>
    </row>
    <row r="28" spans="2:5" ht="15" customHeight="1" x14ac:dyDescent="0.25">
      <c r="B28" s="236" t="s">
        <v>9</v>
      </c>
      <c r="C28" s="392">
        <v>194.29532182621546</v>
      </c>
      <c r="D28" s="392">
        <v>233.51303246169314</v>
      </c>
      <c r="E28" s="392">
        <f t="shared" si="0"/>
        <v>39.217710635477687</v>
      </c>
    </row>
    <row r="29" spans="2:5" ht="15" customHeight="1" x14ac:dyDescent="0.25">
      <c r="B29" s="236" t="s">
        <v>10</v>
      </c>
      <c r="C29" s="392">
        <v>201.69665773166869</v>
      </c>
      <c r="D29" s="392">
        <v>254.30557396770459</v>
      </c>
      <c r="E29" s="392">
        <f t="shared" si="0"/>
        <v>52.608916236035896</v>
      </c>
    </row>
    <row r="30" spans="2:5" ht="15" customHeight="1" x14ac:dyDescent="0.25">
      <c r="B30" s="236" t="s">
        <v>11</v>
      </c>
      <c r="C30" s="392">
        <v>223.00825949358247</v>
      </c>
      <c r="D30" s="392">
        <v>266.53914681394684</v>
      </c>
      <c r="E30" s="392">
        <f>+D30-C30</f>
        <v>43.530887320364371</v>
      </c>
    </row>
    <row r="31" spans="2:5" ht="15" customHeight="1" x14ac:dyDescent="0.25">
      <c r="B31" s="236" t="s">
        <v>2319</v>
      </c>
      <c r="C31" s="216">
        <v>234.3</v>
      </c>
      <c r="D31" s="216">
        <v>276.0579877990765</v>
      </c>
      <c r="E31" s="216">
        <f t="shared" si="0"/>
        <v>41.757987799076488</v>
      </c>
    </row>
    <row r="32" spans="2:5" ht="15" customHeight="1" x14ac:dyDescent="0.25">
      <c r="B32" s="236" t="s">
        <v>2384</v>
      </c>
      <c r="C32" s="216">
        <v>239.221476761611</v>
      </c>
      <c r="D32" s="216">
        <v>283.77340089699999</v>
      </c>
      <c r="E32" s="216">
        <f>+D32-C32</f>
        <v>44.551924135388987</v>
      </c>
    </row>
    <row r="33" spans="2:5" ht="15" customHeight="1" x14ac:dyDescent="0.25">
      <c r="B33" s="1783" t="s">
        <v>2479</v>
      </c>
      <c r="C33" s="216">
        <v>241.6</v>
      </c>
      <c r="D33" s="216">
        <v>284.87903786407497</v>
      </c>
      <c r="E33" s="216">
        <f>+D33-C33</f>
        <v>43.279037864074979</v>
      </c>
    </row>
    <row r="34" spans="2:5" ht="48.75" customHeight="1" x14ac:dyDescent="0.25">
      <c r="B34" s="3173" t="s">
        <v>2398</v>
      </c>
      <c r="C34" s="3173"/>
      <c r="D34" s="3173"/>
      <c r="E34" s="3173"/>
    </row>
    <row r="35" spans="2:5" ht="15.75" x14ac:dyDescent="0.25"/>
    <row r="36" spans="2:5" ht="15.75" x14ac:dyDescent="0.25"/>
    <row r="37" spans="2:5" ht="15.75" x14ac:dyDescent="0.25"/>
    <row r="38" spans="2:5" ht="15.75" x14ac:dyDescent="0.25"/>
    <row r="39" spans="2:5" ht="15.75" x14ac:dyDescent="0.25"/>
    <row r="63" ht="1.5" customHeight="1" x14ac:dyDescent="0.25"/>
  </sheetData>
  <mergeCells count="4">
    <mergeCell ref="B1:E1"/>
    <mergeCell ref="B2:E2"/>
    <mergeCell ref="B34:E34"/>
    <mergeCell ref="B3:B4"/>
  </mergeCells>
  <hyperlinks>
    <hyperlink ref="A1" location="CONTENTS!A1" display="Home" xr:uid="{1370D327-A2FB-486D-A426-CE8D72A524D1}"/>
  </hyperlinks>
  <pageMargins left="0.70866141732283472" right="0.70866141732283472" top="0.74803149606299213" bottom="0.74803149606299213" header="0.31496062992125984" footer="0.31496062992125984"/>
  <pageSetup paperSize="9" scale="96"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A19F71-DC42-493E-989D-914518F92EF3}">
  <sheetPr>
    <tabColor theme="0"/>
    <pageSetUpPr fitToPage="1"/>
  </sheetPr>
  <dimension ref="A2:L64"/>
  <sheetViews>
    <sheetView showGridLines="0" view="pageLayout" topLeftCell="B18" zoomScale="80" zoomScaleNormal="115" zoomScalePageLayoutView="80" workbookViewId="0">
      <selection activeCell="B81" sqref="B81"/>
    </sheetView>
  </sheetViews>
  <sheetFormatPr defaultColWidth="9.140625" defaultRowHeight="15.75" x14ac:dyDescent="0.25"/>
  <cols>
    <col min="1" max="1" width="0" style="1176" hidden="1" customWidth="1"/>
    <col min="2" max="2" width="11.42578125" style="1176" customWidth="1"/>
    <col min="3" max="3" width="12.5703125" style="1176" customWidth="1"/>
    <col min="4" max="4" width="4.85546875" style="1176" customWidth="1"/>
    <col min="5" max="5" width="5.140625" style="1176" customWidth="1"/>
    <col min="6" max="6" width="10.5703125" style="1176" customWidth="1"/>
    <col min="7" max="7" width="13.28515625" style="1176" customWidth="1"/>
    <col min="8" max="8" width="11.5703125" style="1176" customWidth="1"/>
    <col min="9" max="11" width="13.28515625" style="1176" customWidth="1"/>
    <col min="12" max="12" width="11.5703125" style="1176" customWidth="1"/>
    <col min="13" max="14" width="9.140625" style="1176"/>
    <col min="15" max="15" width="14.7109375" style="1176" bestFit="1" customWidth="1"/>
    <col min="16" max="16384" width="9.140625" style="1176"/>
  </cols>
  <sheetData>
    <row r="2" spans="2:12" ht="16.5" x14ac:dyDescent="0.25">
      <c r="B2" s="3205" t="s">
        <v>1094</v>
      </c>
      <c r="C2" s="3205"/>
      <c r="D2" s="3205"/>
      <c r="E2" s="3205"/>
      <c r="F2" s="3205"/>
      <c r="G2" s="3205"/>
      <c r="H2" s="3205"/>
      <c r="I2" s="3205"/>
      <c r="J2" s="3205"/>
      <c r="K2" s="3205"/>
      <c r="L2" s="3205"/>
    </row>
    <row r="3" spans="2:12" ht="16.5" x14ac:dyDescent="0.25">
      <c r="B3" s="3206" t="s">
        <v>1095</v>
      </c>
      <c r="C3" s="3206"/>
      <c r="D3" s="3206"/>
      <c r="E3" s="3206"/>
      <c r="F3" s="3206"/>
      <c r="G3" s="3206"/>
      <c r="H3" s="3206"/>
      <c r="I3" s="3206"/>
      <c r="J3" s="3206"/>
      <c r="K3" s="3206"/>
      <c r="L3" s="3206"/>
    </row>
    <row r="4" spans="2:12" ht="33" customHeight="1" x14ac:dyDescent="0.25">
      <c r="B4" s="3210" t="s">
        <v>321</v>
      </c>
      <c r="C4" s="3211"/>
      <c r="D4" s="3211"/>
      <c r="E4" s="3211"/>
      <c r="F4" s="3212"/>
      <c r="G4" s="1508" t="s">
        <v>9</v>
      </c>
      <c r="H4" s="1508" t="s">
        <v>77</v>
      </c>
      <c r="I4" s="1508" t="s">
        <v>11</v>
      </c>
      <c r="J4" s="1508" t="s">
        <v>382</v>
      </c>
      <c r="K4" s="1508" t="s">
        <v>2309</v>
      </c>
      <c r="L4" s="1331" t="s">
        <v>2479</v>
      </c>
    </row>
    <row r="5" spans="2:12" ht="16.5" x14ac:dyDescent="0.25">
      <c r="B5" s="3207" t="s">
        <v>2239</v>
      </c>
      <c r="C5" s="3208"/>
      <c r="D5" s="3208"/>
      <c r="E5" s="3208"/>
      <c r="F5" s="3208"/>
      <c r="G5" s="3208"/>
      <c r="H5" s="3208"/>
      <c r="I5" s="3208"/>
      <c r="J5" s="3208"/>
      <c r="K5" s="3208"/>
      <c r="L5" s="3209"/>
    </row>
    <row r="6" spans="2:12" x14ac:dyDescent="0.25">
      <c r="B6" s="3202" t="s">
        <v>1097</v>
      </c>
      <c r="C6" s="3203"/>
      <c r="D6" s="3203"/>
      <c r="E6" s="3203"/>
      <c r="F6" s="3204"/>
      <c r="G6" s="1510">
        <v>5.64</v>
      </c>
      <c r="H6" s="1510">
        <v>11.25</v>
      </c>
      <c r="I6" s="1510">
        <v>19.52</v>
      </c>
      <c r="J6" s="1510">
        <v>12.05</v>
      </c>
      <c r="K6" s="1510">
        <v>4.8</v>
      </c>
      <c r="L6" s="1510" t="s">
        <v>2846</v>
      </c>
    </row>
    <row r="7" spans="2:12" x14ac:dyDescent="0.25">
      <c r="B7" s="3202" t="s">
        <v>1098</v>
      </c>
      <c r="C7" s="3203"/>
      <c r="D7" s="3203"/>
      <c r="E7" s="3203"/>
      <c r="F7" s="3204"/>
      <c r="G7" s="1510">
        <v>4.0599999999999996</v>
      </c>
      <c r="H7" s="1510">
        <v>9.09</v>
      </c>
      <c r="I7" s="1510">
        <v>20.239999999999998</v>
      </c>
      <c r="J7" s="1510">
        <v>14.14</v>
      </c>
      <c r="K7" s="1510">
        <v>6.82</v>
      </c>
      <c r="L7" s="1510">
        <v>11.74</v>
      </c>
    </row>
    <row r="8" spans="2:12" x14ac:dyDescent="0.25">
      <c r="B8" s="3202" t="s">
        <v>1099</v>
      </c>
      <c r="C8" s="3203"/>
      <c r="D8" s="3203"/>
      <c r="E8" s="3203"/>
      <c r="F8" s="3204"/>
      <c r="G8" s="1510">
        <v>3.86</v>
      </c>
      <c r="H8" s="1510">
        <v>7.19</v>
      </c>
      <c r="I8" s="1510">
        <v>12.09</v>
      </c>
      <c r="J8" s="1510">
        <v>9.08</v>
      </c>
      <c r="K8" s="1510">
        <v>5.74</v>
      </c>
      <c r="L8" s="1510">
        <v>8.7899999999999991</v>
      </c>
    </row>
    <row r="9" spans="2:12" x14ac:dyDescent="0.25">
      <c r="B9" s="3202" t="s">
        <v>1100</v>
      </c>
      <c r="C9" s="3203"/>
      <c r="D9" s="3203"/>
      <c r="E9" s="3203"/>
      <c r="F9" s="3204"/>
      <c r="G9" s="1510">
        <v>7.14</v>
      </c>
      <c r="H9" s="1510">
        <v>8.85</v>
      </c>
      <c r="I9" s="1510">
        <v>12.48</v>
      </c>
      <c r="J9" s="1510">
        <v>8.64</v>
      </c>
      <c r="K9" s="1510">
        <v>4.22</v>
      </c>
      <c r="L9" s="1510">
        <v>9.2799999999999994</v>
      </c>
    </row>
    <row r="10" spans="2:12" x14ac:dyDescent="0.25">
      <c r="B10" s="3202" t="s">
        <v>1101</v>
      </c>
      <c r="C10" s="3203"/>
      <c r="D10" s="3203"/>
      <c r="E10" s="3203"/>
      <c r="F10" s="3204"/>
      <c r="G10" s="1510">
        <v>3.71</v>
      </c>
      <c r="H10" s="1510">
        <v>8.7200000000000006</v>
      </c>
      <c r="I10" s="1510">
        <v>9.8800000000000008</v>
      </c>
      <c r="J10" s="1510">
        <v>10.36</v>
      </c>
      <c r="K10" s="1510">
        <v>4.45</v>
      </c>
      <c r="L10" s="1510" t="s">
        <v>2846</v>
      </c>
    </row>
    <row r="11" spans="2:12" x14ac:dyDescent="0.25">
      <c r="B11" s="3202" t="s">
        <v>1102</v>
      </c>
      <c r="C11" s="3203"/>
      <c r="D11" s="3203"/>
      <c r="E11" s="3203"/>
      <c r="F11" s="3204"/>
      <c r="G11" s="1510">
        <v>37.229999999999997</v>
      </c>
      <c r="H11" s="1510">
        <v>43.46</v>
      </c>
      <c r="I11" s="1510">
        <v>35.82</v>
      </c>
      <c r="J11" s="1510">
        <v>29.72</v>
      </c>
      <c r="K11" s="1510">
        <v>19.95</v>
      </c>
      <c r="L11" s="1510">
        <v>29.2</v>
      </c>
    </row>
    <row r="12" spans="2:12" x14ac:dyDescent="0.25">
      <c r="B12" s="3202" t="s">
        <v>1103</v>
      </c>
      <c r="C12" s="3203"/>
      <c r="D12" s="3203"/>
      <c r="E12" s="3203"/>
      <c r="F12" s="3204"/>
      <c r="G12" s="1510">
        <v>6.2</v>
      </c>
      <c r="H12" s="1510">
        <v>11</v>
      </c>
      <c r="I12" s="1510" t="s">
        <v>1104</v>
      </c>
      <c r="J12" s="1510" t="s">
        <v>1104</v>
      </c>
      <c r="K12" s="1510" t="s">
        <v>1104</v>
      </c>
      <c r="L12" s="1510" t="s">
        <v>1104</v>
      </c>
    </row>
    <row r="13" spans="2:12" x14ac:dyDescent="0.25">
      <c r="B13" s="3202" t="s">
        <v>199</v>
      </c>
      <c r="C13" s="3203"/>
      <c r="D13" s="3203"/>
      <c r="E13" s="3203"/>
      <c r="F13" s="3204"/>
      <c r="G13" s="1510">
        <v>0.53</v>
      </c>
      <c r="H13" s="1510">
        <v>4.9850000000000003</v>
      </c>
      <c r="I13" s="1510">
        <v>10.76</v>
      </c>
      <c r="J13" s="1510">
        <v>6.58</v>
      </c>
      <c r="K13" s="1510">
        <v>3.82</v>
      </c>
      <c r="L13" s="1510">
        <v>6.53</v>
      </c>
    </row>
    <row r="14" spans="2:12" x14ac:dyDescent="0.25">
      <c r="B14" s="1511"/>
      <c r="C14" s="1512"/>
      <c r="D14" s="1512"/>
      <c r="E14" s="1512"/>
      <c r="F14" s="1512"/>
      <c r="G14" s="1512"/>
      <c r="H14" s="1512"/>
      <c r="I14" s="1512"/>
      <c r="J14" s="1512"/>
      <c r="K14" s="1512"/>
      <c r="L14" s="1513"/>
    </row>
    <row r="15" spans="2:12" ht="76.5" customHeight="1" x14ac:dyDescent="0.25">
      <c r="B15" s="3187" t="s">
        <v>2976</v>
      </c>
      <c r="C15" s="3188"/>
      <c r="D15" s="3188"/>
      <c r="E15" s="3188"/>
      <c r="F15" s="3188"/>
      <c r="G15" s="3188"/>
      <c r="H15" s="3188"/>
      <c r="I15" s="3188"/>
      <c r="J15" s="3188"/>
      <c r="K15" s="3188"/>
      <c r="L15" s="3189"/>
    </row>
    <row r="16" spans="2:12" ht="31.5" customHeight="1" x14ac:dyDescent="0.25">
      <c r="B16" s="3190" t="s">
        <v>1108</v>
      </c>
      <c r="C16" s="3191"/>
      <c r="D16" s="3191"/>
      <c r="E16" s="3191"/>
      <c r="F16" s="3191"/>
      <c r="G16" s="3191"/>
      <c r="H16" s="3191"/>
      <c r="I16" s="3191"/>
      <c r="J16" s="3191"/>
      <c r="K16" s="3191"/>
      <c r="L16" s="3192"/>
    </row>
    <row r="17" spans="1:12" ht="29.25" customHeight="1" x14ac:dyDescent="0.25">
      <c r="B17" s="3193" t="s">
        <v>2847</v>
      </c>
      <c r="C17" s="3194"/>
      <c r="D17" s="3194"/>
      <c r="E17" s="3194"/>
      <c r="F17" s="3194"/>
      <c r="G17" s="3194"/>
      <c r="H17" s="3194"/>
      <c r="I17" s="3194"/>
      <c r="J17" s="3194"/>
      <c r="K17" s="3194"/>
      <c r="L17" s="3195"/>
    </row>
    <row r="21" spans="1:12" ht="22.5" customHeight="1" x14ac:dyDescent="0.25">
      <c r="A21" s="1485" t="s">
        <v>296</v>
      </c>
      <c r="B21" s="3196" t="s">
        <v>1109</v>
      </c>
      <c r="C21" s="3197"/>
      <c r="D21" s="3197"/>
      <c r="E21" s="3197"/>
      <c r="F21" s="3197"/>
      <c r="G21" s="3197"/>
      <c r="H21" s="3197"/>
      <c r="I21" s="3197"/>
      <c r="J21" s="3197"/>
      <c r="K21" s="3198"/>
      <c r="L21" s="1866"/>
    </row>
    <row r="22" spans="1:12" ht="15" customHeight="1" x14ac:dyDescent="0.25">
      <c r="B22" s="3199" t="s">
        <v>1110</v>
      </c>
      <c r="C22" s="3200"/>
      <c r="D22" s="3200"/>
      <c r="E22" s="3200"/>
      <c r="F22" s="3200"/>
      <c r="G22" s="3200"/>
      <c r="H22" s="3200"/>
      <c r="I22" s="3200"/>
      <c r="J22" s="3200"/>
      <c r="K22" s="3201"/>
      <c r="L22" s="1866"/>
    </row>
    <row r="23" spans="1:12" ht="27" customHeight="1" x14ac:dyDescent="0.25">
      <c r="B23" s="1514" t="s">
        <v>321</v>
      </c>
      <c r="C23" s="3176" t="s">
        <v>1111</v>
      </c>
      <c r="D23" s="3177"/>
      <c r="E23" s="3178"/>
      <c r="F23" s="1515" t="s">
        <v>76</v>
      </c>
      <c r="G23" s="1515" t="s">
        <v>77</v>
      </c>
      <c r="H23" s="1516" t="s">
        <v>11</v>
      </c>
      <c r="I23" s="1516" t="s">
        <v>382</v>
      </c>
      <c r="J23" s="1516" t="s">
        <v>2309</v>
      </c>
      <c r="K23" s="1509" t="s">
        <v>2479</v>
      </c>
    </row>
    <row r="24" spans="1:12" x14ac:dyDescent="0.25">
      <c r="B24" s="3180" t="s">
        <v>1112</v>
      </c>
      <c r="C24" s="3183" t="s">
        <v>1003</v>
      </c>
      <c r="D24" s="3184"/>
      <c r="E24" s="3185"/>
      <c r="F24" s="1517">
        <v>87.149435072026733</v>
      </c>
      <c r="G24" s="1517">
        <v>85.9</v>
      </c>
      <c r="H24" s="1517">
        <v>83.83</v>
      </c>
      <c r="I24" s="1517">
        <v>83.8</v>
      </c>
      <c r="J24" s="1517">
        <v>83.9</v>
      </c>
      <c r="K24" s="1235">
        <v>83.1</v>
      </c>
    </row>
    <row r="25" spans="1:12" x14ac:dyDescent="0.25">
      <c r="B25" s="3181"/>
      <c r="C25" s="3183" t="s">
        <v>1004</v>
      </c>
      <c r="D25" s="3184"/>
      <c r="E25" s="3185"/>
      <c r="F25" s="1517">
        <v>72.08169491210208</v>
      </c>
      <c r="G25" s="1517">
        <v>76.7</v>
      </c>
      <c r="H25" s="1517">
        <v>73.97</v>
      </c>
      <c r="I25" s="1517">
        <v>73.900000000000006</v>
      </c>
      <c r="J25" s="1517">
        <v>74.599999999999994</v>
      </c>
      <c r="K25" s="1235">
        <v>71.7</v>
      </c>
    </row>
    <row r="26" spans="1:12" x14ac:dyDescent="0.25">
      <c r="B26" s="3181"/>
      <c r="C26" s="3183" t="s">
        <v>1005</v>
      </c>
      <c r="D26" s="3184"/>
      <c r="E26" s="3185"/>
      <c r="F26" s="1517">
        <v>72.24391395533452</v>
      </c>
      <c r="G26" s="1517">
        <v>72.2</v>
      </c>
      <c r="H26" s="1517">
        <v>74.760000000000005</v>
      </c>
      <c r="I26" s="1517">
        <v>73.099999999999994</v>
      </c>
      <c r="J26" s="1517">
        <v>75.599999999999994</v>
      </c>
      <c r="K26" s="1235">
        <v>75.5</v>
      </c>
    </row>
    <row r="27" spans="1:12" x14ac:dyDescent="0.25">
      <c r="B27" s="3181"/>
      <c r="C27" s="3183" t="s">
        <v>1006</v>
      </c>
      <c r="D27" s="3184"/>
      <c r="E27" s="3185"/>
      <c r="F27" s="1517">
        <v>72.304335848032096</v>
      </c>
      <c r="G27" s="1517">
        <v>74.900000000000006</v>
      </c>
      <c r="H27" s="1517">
        <v>71.75</v>
      </c>
      <c r="I27" s="1517">
        <v>71.3</v>
      </c>
      <c r="J27" s="1517">
        <v>69.900000000000006</v>
      </c>
      <c r="K27" s="1235">
        <v>72</v>
      </c>
    </row>
    <row r="28" spans="1:12" x14ac:dyDescent="0.25">
      <c r="B28" s="3181"/>
      <c r="C28" s="3183" t="s">
        <v>1007</v>
      </c>
      <c r="D28" s="3184"/>
      <c r="E28" s="3185"/>
      <c r="F28" s="1517">
        <v>80.19554990059757</v>
      </c>
      <c r="G28" s="1517">
        <v>83.9</v>
      </c>
      <c r="H28" s="1517">
        <v>78.900000000000006</v>
      </c>
      <c r="I28" s="1517">
        <v>79.099999999999994</v>
      </c>
      <c r="J28" s="1517">
        <v>79.7</v>
      </c>
      <c r="K28" s="1235">
        <v>81.7</v>
      </c>
    </row>
    <row r="29" spans="1:12" x14ac:dyDescent="0.25">
      <c r="B29" s="3181"/>
      <c r="C29" s="3183" t="s">
        <v>1008</v>
      </c>
      <c r="D29" s="3184"/>
      <c r="E29" s="3185"/>
      <c r="F29" s="1517">
        <v>82.113108504167485</v>
      </c>
      <c r="G29" s="1517">
        <v>86.4</v>
      </c>
      <c r="H29" s="1517">
        <v>81.5</v>
      </c>
      <c r="I29" s="1517">
        <v>79.900000000000006</v>
      </c>
      <c r="J29" s="1517">
        <v>82.8</v>
      </c>
      <c r="K29" s="1235">
        <v>83.6</v>
      </c>
    </row>
    <row r="30" spans="1:12" x14ac:dyDescent="0.25">
      <c r="B30" s="3181"/>
      <c r="C30" s="3183" t="s">
        <v>1009</v>
      </c>
      <c r="D30" s="3184"/>
      <c r="E30" s="3185"/>
      <c r="F30" s="1517">
        <v>67.893099671412926</v>
      </c>
      <c r="G30" s="1517">
        <v>79.2</v>
      </c>
      <c r="H30" s="1517">
        <v>72.8</v>
      </c>
      <c r="I30" s="1517">
        <v>70.8</v>
      </c>
      <c r="J30" s="1517">
        <v>71.900000000000006</v>
      </c>
      <c r="K30" s="1235">
        <v>72.8</v>
      </c>
    </row>
    <row r="31" spans="1:12" x14ac:dyDescent="0.25">
      <c r="B31" s="3181"/>
      <c r="C31" s="3183" t="s">
        <v>1010</v>
      </c>
      <c r="D31" s="3184"/>
      <c r="E31" s="3185"/>
      <c r="F31" s="1517">
        <v>84.811690246650315</v>
      </c>
      <c r="G31" s="1517">
        <v>81.3</v>
      </c>
      <c r="H31" s="1517">
        <v>80.040000000000006</v>
      </c>
      <c r="I31" s="1517">
        <v>82.3</v>
      </c>
      <c r="J31" s="1517">
        <v>82.6</v>
      </c>
      <c r="K31" s="1235">
        <v>83.2</v>
      </c>
    </row>
    <row r="32" spans="1:12" x14ac:dyDescent="0.25">
      <c r="B32" s="3182"/>
      <c r="C32" s="3183" t="s">
        <v>1011</v>
      </c>
      <c r="D32" s="3184"/>
      <c r="E32" s="3185"/>
      <c r="F32" s="1517">
        <v>79.177559810372657</v>
      </c>
      <c r="G32" s="1517">
        <v>79.599999999999994</v>
      </c>
      <c r="H32" s="1517">
        <v>79.510000000000005</v>
      </c>
      <c r="I32" s="1517">
        <v>79.900000000000006</v>
      </c>
      <c r="J32" s="1517">
        <v>80.599999999999994</v>
      </c>
      <c r="K32" s="1235">
        <v>80.8</v>
      </c>
    </row>
    <row r="33" spans="2:11" x14ac:dyDescent="0.25">
      <c r="B33" s="3186" t="s">
        <v>1100</v>
      </c>
      <c r="C33" s="3183" t="s">
        <v>1019</v>
      </c>
      <c r="D33" s="3184"/>
      <c r="E33" s="3185"/>
      <c r="F33" s="1517">
        <v>78.411838293219489</v>
      </c>
      <c r="G33" s="1517">
        <v>74.900000000000006</v>
      </c>
      <c r="H33" s="1517">
        <v>78.3</v>
      </c>
      <c r="I33" s="1517">
        <v>78.400000000000006</v>
      </c>
      <c r="J33" s="1517">
        <v>78</v>
      </c>
      <c r="K33" s="1235">
        <v>81.099999999999994</v>
      </c>
    </row>
    <row r="34" spans="2:11" x14ac:dyDescent="0.25">
      <c r="B34" s="3186"/>
      <c r="C34" s="3183" t="s">
        <v>1020</v>
      </c>
      <c r="D34" s="3184"/>
      <c r="E34" s="3185"/>
      <c r="F34" s="1517" t="s">
        <v>18</v>
      </c>
      <c r="G34" s="1517" t="s">
        <v>18</v>
      </c>
      <c r="H34" s="1517" t="s">
        <v>18</v>
      </c>
      <c r="I34" s="1519" t="s">
        <v>18</v>
      </c>
      <c r="J34" s="1519"/>
      <c r="K34" s="1235"/>
    </row>
    <row r="35" spans="2:11" x14ac:dyDescent="0.25">
      <c r="B35" s="3186" t="s">
        <v>1099</v>
      </c>
      <c r="C35" s="3183" t="s">
        <v>1113</v>
      </c>
      <c r="D35" s="3184"/>
      <c r="E35" s="3185"/>
      <c r="F35" s="1517">
        <v>76.224999999999994</v>
      </c>
      <c r="G35" s="1520">
        <v>70.400000000000006</v>
      </c>
      <c r="H35" s="1520">
        <v>75.900000000000006</v>
      </c>
      <c r="I35" s="1520">
        <v>76.099999999999994</v>
      </c>
      <c r="J35" s="1520">
        <v>74.599999999999994</v>
      </c>
      <c r="K35" s="1235">
        <v>76.7</v>
      </c>
    </row>
    <row r="36" spans="2:11" x14ac:dyDescent="0.25">
      <c r="B36" s="3186"/>
      <c r="C36" s="3183" t="s">
        <v>1014</v>
      </c>
      <c r="D36" s="3184"/>
      <c r="E36" s="3185"/>
      <c r="F36" s="1517">
        <v>74.384602000000001</v>
      </c>
      <c r="G36" s="1520">
        <v>70.7</v>
      </c>
      <c r="H36" s="1520">
        <v>67.900000000000006</v>
      </c>
      <c r="I36" s="1520">
        <v>71.599999999999994</v>
      </c>
      <c r="J36" s="1520">
        <v>73.8</v>
      </c>
      <c r="K36" s="1235">
        <v>74.2</v>
      </c>
    </row>
    <row r="37" spans="2:11" x14ac:dyDescent="0.25">
      <c r="B37" s="3180" t="s">
        <v>1098</v>
      </c>
      <c r="C37" s="3183" t="s">
        <v>1113</v>
      </c>
      <c r="D37" s="3184"/>
      <c r="E37" s="3185"/>
      <c r="F37" s="1517">
        <v>83.664306574724733</v>
      </c>
      <c r="G37" s="1520">
        <v>84.4</v>
      </c>
      <c r="H37" s="1520">
        <v>85.5</v>
      </c>
      <c r="I37" s="1520">
        <v>80.900000000000006</v>
      </c>
      <c r="J37" s="1520">
        <v>81.099999999999994</v>
      </c>
      <c r="K37" s="1235">
        <v>83</v>
      </c>
    </row>
    <row r="38" spans="2:11" x14ac:dyDescent="0.25">
      <c r="B38" s="3181"/>
      <c r="C38" s="3183" t="s">
        <v>882</v>
      </c>
      <c r="D38" s="3184"/>
      <c r="E38" s="3185"/>
      <c r="F38" s="1517">
        <v>83.766809747535802</v>
      </c>
      <c r="G38" s="1520">
        <v>85.4</v>
      </c>
      <c r="H38" s="1520">
        <v>83.9</v>
      </c>
      <c r="I38" s="1520">
        <v>84.2</v>
      </c>
      <c r="J38" s="1520">
        <v>83.5</v>
      </c>
      <c r="K38" s="1235">
        <v>83</v>
      </c>
    </row>
    <row r="39" spans="2:11" x14ac:dyDescent="0.25">
      <c r="B39" s="3182"/>
      <c r="C39" s="3183" t="s">
        <v>1114</v>
      </c>
      <c r="D39" s="3184"/>
      <c r="E39" s="3185"/>
      <c r="F39" s="1521" t="s">
        <v>18</v>
      </c>
      <c r="G39" s="1520">
        <v>84.3</v>
      </c>
      <c r="H39" s="1520">
        <v>85.3</v>
      </c>
      <c r="I39" s="1520">
        <v>84.5</v>
      </c>
      <c r="J39" s="1520">
        <v>84.4</v>
      </c>
      <c r="K39" s="1235">
        <v>84.2</v>
      </c>
    </row>
    <row r="40" spans="2:11" x14ac:dyDescent="0.25">
      <c r="B40" s="1518" t="s">
        <v>1115</v>
      </c>
      <c r="C40" s="3183" t="s">
        <v>1022</v>
      </c>
      <c r="D40" s="3184"/>
      <c r="E40" s="3185"/>
      <c r="F40" s="1517">
        <v>86.362419821268688</v>
      </c>
      <c r="G40" s="1520">
        <v>85.69</v>
      </c>
      <c r="H40" s="1520">
        <v>89.9</v>
      </c>
      <c r="I40" s="1520">
        <v>86.5</v>
      </c>
      <c r="J40" s="1520">
        <v>90</v>
      </c>
      <c r="K40" s="1235">
        <v>89.9</v>
      </c>
    </row>
    <row r="41" spans="2:11" x14ac:dyDescent="0.25">
      <c r="B41" s="1518" t="s">
        <v>1101</v>
      </c>
      <c r="C41" s="3183" t="s">
        <v>1116</v>
      </c>
      <c r="D41" s="3184"/>
      <c r="E41" s="3185"/>
      <c r="F41" s="1517">
        <v>78.091926046393397</v>
      </c>
      <c r="G41" s="1520">
        <v>78.8</v>
      </c>
      <c r="H41" s="1520">
        <v>77.900000000000006</v>
      </c>
      <c r="I41" s="1520">
        <v>79.400000000000006</v>
      </c>
      <c r="J41" s="1520">
        <v>82.3</v>
      </c>
      <c r="K41" s="1235">
        <v>82.7</v>
      </c>
    </row>
    <row r="42" spans="2:11" ht="16.5" x14ac:dyDescent="0.3">
      <c r="B42" s="3176" t="s">
        <v>1117</v>
      </c>
      <c r="C42" s="3177"/>
      <c r="D42" s="3177"/>
      <c r="E42" s="3178"/>
      <c r="F42" s="1522">
        <v>78.632090030728534</v>
      </c>
      <c r="G42" s="1522">
        <v>79.599999999999994</v>
      </c>
      <c r="H42" s="1522">
        <v>78.7</v>
      </c>
      <c r="I42" s="1522">
        <v>78.5</v>
      </c>
      <c r="J42" s="1522">
        <v>79.13</v>
      </c>
      <c r="K42" s="1124">
        <v>79.599999999999994</v>
      </c>
    </row>
    <row r="43" spans="2:11" ht="16.5" x14ac:dyDescent="0.25">
      <c r="B43" s="3179" t="s">
        <v>2520</v>
      </c>
      <c r="C43" s="3179"/>
      <c r="D43" s="3179"/>
      <c r="E43" s="1523"/>
    </row>
    <row r="64" ht="1.5" customHeight="1" x14ac:dyDescent="0.25"/>
  </sheetData>
  <mergeCells count="42">
    <mergeCell ref="B12:F12"/>
    <mergeCell ref="B13:F13"/>
    <mergeCell ref="B2:L2"/>
    <mergeCell ref="B3:L3"/>
    <mergeCell ref="B5:L5"/>
    <mergeCell ref="B4:F4"/>
    <mergeCell ref="B6:F6"/>
    <mergeCell ref="B7:F7"/>
    <mergeCell ref="B8:F8"/>
    <mergeCell ref="B9:F9"/>
    <mergeCell ref="B10:F10"/>
    <mergeCell ref="B11:F11"/>
    <mergeCell ref="C23:E23"/>
    <mergeCell ref="B15:L15"/>
    <mergeCell ref="B16:L16"/>
    <mergeCell ref="B17:L17"/>
    <mergeCell ref="B21:K21"/>
    <mergeCell ref="B22:K22"/>
    <mergeCell ref="B24:B32"/>
    <mergeCell ref="C24:E24"/>
    <mergeCell ref="C25:E25"/>
    <mergeCell ref="C26:E26"/>
    <mergeCell ref="C27:E27"/>
    <mergeCell ref="C28:E28"/>
    <mergeCell ref="C29:E29"/>
    <mergeCell ref="C30:E30"/>
    <mergeCell ref="C31:E31"/>
    <mergeCell ref="C32:E32"/>
    <mergeCell ref="B33:B34"/>
    <mergeCell ref="C33:E33"/>
    <mergeCell ref="C34:E34"/>
    <mergeCell ref="B35:B36"/>
    <mergeCell ref="C35:E35"/>
    <mergeCell ref="C36:E36"/>
    <mergeCell ref="B42:E42"/>
    <mergeCell ref="B43:D43"/>
    <mergeCell ref="B37:B39"/>
    <mergeCell ref="C37:E37"/>
    <mergeCell ref="C38:E38"/>
    <mergeCell ref="C39:E39"/>
    <mergeCell ref="C40:E40"/>
    <mergeCell ref="C41:E41"/>
  </mergeCells>
  <hyperlinks>
    <hyperlink ref="A21" location="CONTENTS!A1" display="Home" xr:uid="{D644B2A3-6A65-4E5B-8864-CB8B2CB66C37}"/>
  </hyperlinks>
  <pageMargins left="0.70866141732283472" right="0.70866141732283472" top="0.74803149606299213" bottom="0.74803149606299213" header="0.31496062992125984" footer="0.31496062992125984"/>
  <pageSetup paperSize="9" scale="72"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6D8284-5218-41A4-ABDB-8A1A7AF9EF04}">
  <sheetPr>
    <tabColor theme="0"/>
    <pageSetUpPr fitToPage="1"/>
  </sheetPr>
  <dimension ref="A1:Y64"/>
  <sheetViews>
    <sheetView view="pageLayout" topLeftCell="L27" zoomScale="60" zoomScaleNormal="85" zoomScalePageLayoutView="60" workbookViewId="0">
      <selection activeCell="B81" sqref="B81"/>
    </sheetView>
  </sheetViews>
  <sheetFormatPr defaultColWidth="9.140625" defaultRowHeight="79.5" customHeight="1" x14ac:dyDescent="0.25"/>
  <cols>
    <col min="1" max="2" width="0" style="390" hidden="1" customWidth="1"/>
    <col min="3" max="3" width="7.140625" style="390" bestFit="1" customWidth="1"/>
    <col min="4" max="4" width="12" style="390" customWidth="1"/>
    <col min="5" max="5" width="59.28515625" style="390" customWidth="1"/>
    <col min="6" max="6" width="14.140625" style="390" hidden="1" customWidth="1"/>
    <col min="7" max="7" width="15.85546875" style="390" hidden="1" customWidth="1"/>
    <col min="8" max="8" width="5.7109375" style="390" hidden="1" customWidth="1"/>
    <col min="9" max="11" width="13" style="390" hidden="1" customWidth="1"/>
    <col min="12" max="12" width="14.28515625" style="390" customWidth="1"/>
    <col min="13" max="13" width="9.5703125" style="390" customWidth="1"/>
    <col min="14" max="14" width="7.5703125" style="390" customWidth="1"/>
    <col min="15" max="15" width="10.85546875" style="390" customWidth="1"/>
    <col min="16" max="16" width="9.5703125" style="390" customWidth="1"/>
    <col min="17" max="17" width="8.7109375" style="390" customWidth="1"/>
    <col min="18" max="18" width="10.85546875" style="390" customWidth="1"/>
    <col min="19" max="19" width="9.5703125" style="390" customWidth="1"/>
    <col min="20" max="20" width="10.140625" style="390" customWidth="1"/>
    <col min="21" max="21" width="10.85546875" style="390" customWidth="1"/>
    <col min="22" max="22" width="9.5703125" style="390" customWidth="1"/>
    <col min="23" max="23" width="11.7109375" style="390" bestFit="1" customWidth="1"/>
    <col min="24" max="24" width="9.140625" style="390"/>
    <col min="25" max="27" width="0" style="390" hidden="1" customWidth="1"/>
    <col min="28" max="16384" width="9.140625" style="390"/>
  </cols>
  <sheetData>
    <row r="1" spans="1:25" ht="36" customHeight="1" x14ac:dyDescent="0.25">
      <c r="A1" s="1485" t="s">
        <v>296</v>
      </c>
      <c r="B1" s="1485"/>
      <c r="C1" s="3228" t="s">
        <v>1118</v>
      </c>
      <c r="D1" s="3229"/>
      <c r="E1" s="3229"/>
      <c r="F1" s="3229"/>
      <c r="G1" s="3229"/>
      <c r="H1" s="3229"/>
      <c r="I1" s="3229"/>
      <c r="J1" s="3229"/>
      <c r="K1" s="3229"/>
      <c r="L1" s="3229"/>
      <c r="M1" s="3229"/>
      <c r="N1" s="3229"/>
      <c r="O1" s="3229"/>
      <c r="P1" s="3229"/>
      <c r="Q1" s="3229"/>
      <c r="R1" s="3229"/>
      <c r="S1" s="3229"/>
      <c r="T1" s="3229"/>
      <c r="U1" s="3229"/>
      <c r="V1" s="3229"/>
      <c r="W1" s="3230"/>
    </row>
    <row r="2" spans="1:25" ht="15" customHeight="1" x14ac:dyDescent="0.25">
      <c r="A2" s="1176">
        <v>4.9000000000000004</v>
      </c>
      <c r="B2" s="1176"/>
      <c r="C2" s="3231" t="s">
        <v>242</v>
      </c>
      <c r="D2" s="3232"/>
      <c r="E2" s="3232"/>
      <c r="F2" s="3232"/>
      <c r="G2" s="3232"/>
      <c r="H2" s="3232"/>
      <c r="I2" s="3232"/>
      <c r="J2" s="3232"/>
      <c r="K2" s="3232"/>
      <c r="L2" s="3232"/>
      <c r="M2" s="3232"/>
      <c r="N2" s="3232"/>
      <c r="O2" s="3232"/>
      <c r="P2" s="3232"/>
      <c r="Q2" s="3232"/>
      <c r="R2" s="3232"/>
      <c r="S2" s="3232"/>
      <c r="T2" s="3232"/>
      <c r="U2" s="3232"/>
      <c r="V2" s="3232"/>
      <c r="W2" s="3233"/>
    </row>
    <row r="3" spans="1:25" ht="57" customHeight="1" x14ac:dyDescent="0.25">
      <c r="A3" s="1176"/>
      <c r="B3" s="1176"/>
      <c r="C3" s="3234" t="s">
        <v>3</v>
      </c>
      <c r="D3" s="3235" t="s">
        <v>321</v>
      </c>
      <c r="E3" s="3236" t="s">
        <v>981</v>
      </c>
      <c r="F3" s="3237" t="s">
        <v>897</v>
      </c>
      <c r="G3" s="3238"/>
      <c r="H3" s="3239"/>
      <c r="I3" s="3240" t="s">
        <v>1096</v>
      </c>
      <c r="J3" s="3240"/>
      <c r="K3" s="3240"/>
      <c r="L3" s="3240" t="s">
        <v>11</v>
      </c>
      <c r="M3" s="3240"/>
      <c r="N3" s="3240"/>
      <c r="O3" s="3240" t="s">
        <v>2319</v>
      </c>
      <c r="P3" s="3240"/>
      <c r="Q3" s="3240"/>
      <c r="R3" s="3240" t="s">
        <v>2384</v>
      </c>
      <c r="S3" s="3240"/>
      <c r="T3" s="3240"/>
      <c r="U3" s="3219" t="s">
        <v>2479</v>
      </c>
      <c r="V3" s="3219"/>
      <c r="W3" s="3220"/>
    </row>
    <row r="4" spans="1:25" ht="45" customHeight="1" x14ac:dyDescent="0.25">
      <c r="A4" s="1176"/>
      <c r="B4" s="1176"/>
      <c r="C4" s="3234"/>
      <c r="D4" s="3235"/>
      <c r="E4" s="3236"/>
      <c r="F4" s="3221" t="s">
        <v>1119</v>
      </c>
      <c r="G4" s="3223" t="s">
        <v>1120</v>
      </c>
      <c r="H4" s="3224"/>
      <c r="I4" s="3225" t="s">
        <v>1119</v>
      </c>
      <c r="J4" s="3226" t="s">
        <v>1120</v>
      </c>
      <c r="K4" s="3226"/>
      <c r="L4" s="3225" t="s">
        <v>1119</v>
      </c>
      <c r="M4" s="3226" t="s">
        <v>1120</v>
      </c>
      <c r="N4" s="3226"/>
      <c r="O4" s="3225" t="s">
        <v>1119</v>
      </c>
      <c r="P4" s="3226" t="s">
        <v>1120</v>
      </c>
      <c r="Q4" s="3226"/>
      <c r="R4" s="3225" t="s">
        <v>1119</v>
      </c>
      <c r="S4" s="3226" t="s">
        <v>1120</v>
      </c>
      <c r="T4" s="3226"/>
      <c r="U4" s="3225" t="s">
        <v>1119</v>
      </c>
      <c r="V4" s="3226" t="s">
        <v>1120</v>
      </c>
      <c r="W4" s="3227"/>
      <c r="Y4" s="390" t="s">
        <v>1121</v>
      </c>
    </row>
    <row r="5" spans="1:25" ht="58.5" customHeight="1" x14ac:dyDescent="0.25">
      <c r="A5" s="1176"/>
      <c r="B5" s="1176"/>
      <c r="C5" s="3234"/>
      <c r="D5" s="3235"/>
      <c r="E5" s="3236"/>
      <c r="F5" s="3222"/>
      <c r="G5" s="1486" t="s">
        <v>1122</v>
      </c>
      <c r="H5" s="1486" t="s">
        <v>71</v>
      </c>
      <c r="I5" s="3225"/>
      <c r="J5" s="1486" t="s">
        <v>1122</v>
      </c>
      <c r="K5" s="1486" t="s">
        <v>71</v>
      </c>
      <c r="L5" s="3225"/>
      <c r="M5" s="1486" t="s">
        <v>1122</v>
      </c>
      <c r="N5" s="1486" t="s">
        <v>71</v>
      </c>
      <c r="O5" s="3225"/>
      <c r="P5" s="1486" t="s">
        <v>1122</v>
      </c>
      <c r="Q5" s="1486" t="s">
        <v>71</v>
      </c>
      <c r="R5" s="3225"/>
      <c r="S5" s="1486" t="s">
        <v>1122</v>
      </c>
      <c r="T5" s="1486" t="s">
        <v>71</v>
      </c>
      <c r="U5" s="3225"/>
      <c r="V5" s="1486" t="s">
        <v>1122</v>
      </c>
      <c r="W5" s="1487" t="s">
        <v>71</v>
      </c>
    </row>
    <row r="6" spans="1:25" ht="45" customHeight="1" x14ac:dyDescent="0.25">
      <c r="A6" s="1176"/>
      <c r="B6" s="1176"/>
      <c r="C6" s="1488">
        <v>1</v>
      </c>
      <c r="D6" s="3213" t="s">
        <v>1112</v>
      </c>
      <c r="E6" s="1489" t="s">
        <v>1003</v>
      </c>
      <c r="F6" s="1490">
        <v>5.9651580000000024</v>
      </c>
      <c r="G6" s="1491">
        <v>0.54667600000000005</v>
      </c>
      <c r="H6" s="1491">
        <f>G6/F6%</f>
        <v>9.1644848300749082</v>
      </c>
      <c r="I6" s="1490">
        <v>6.8710579999999988</v>
      </c>
      <c r="J6" s="1490">
        <v>0.61593799999999999</v>
      </c>
      <c r="K6" s="1491">
        <f>J6/I6%</f>
        <v>8.9642381129660098</v>
      </c>
      <c r="L6" s="1490">
        <v>6.8717619999999986</v>
      </c>
      <c r="M6" s="1490">
        <v>0.60576900000000011</v>
      </c>
      <c r="N6" s="1491">
        <v>8.8153373181434436</v>
      </c>
      <c r="O6" s="1490">
        <v>6.7914399999999997</v>
      </c>
      <c r="P6" s="1490">
        <v>0.58395600000000003</v>
      </c>
      <c r="Q6" s="1491">
        <v>8.5984121187848235</v>
      </c>
      <c r="R6" s="1490">
        <v>6.7246940000000022</v>
      </c>
      <c r="S6" s="1490">
        <v>0.52366499999999983</v>
      </c>
      <c r="T6" s="1491">
        <v>7.7871944805220821</v>
      </c>
      <c r="U6" s="1490">
        <v>6.6505640000000001</v>
      </c>
      <c r="V6" s="1490">
        <v>0.50470000000000004</v>
      </c>
      <c r="W6" s="2353">
        <v>7.5888300601272318</v>
      </c>
    </row>
    <row r="7" spans="1:25" ht="45" customHeight="1" x14ac:dyDescent="0.25">
      <c r="A7" s="1176"/>
      <c r="B7" s="1176"/>
      <c r="C7" s="1488">
        <v>2</v>
      </c>
      <c r="D7" s="3214"/>
      <c r="E7" s="1489" t="s">
        <v>1004</v>
      </c>
      <c r="F7" s="1490">
        <v>14.500351999999999</v>
      </c>
      <c r="G7" s="1491">
        <v>1.248786</v>
      </c>
      <c r="H7" s="1491">
        <f t="shared" ref="H7:H33" si="0">G7/F7%</f>
        <v>8.61210817502913</v>
      </c>
      <c r="I7" s="1490">
        <v>14.180924999999997</v>
      </c>
      <c r="J7" s="1490">
        <v>1.279258</v>
      </c>
      <c r="K7" s="1491">
        <f t="shared" ref="K7:K33" si="1">J7/I7%</f>
        <v>9.0209771224373601</v>
      </c>
      <c r="L7" s="1490">
        <v>16.149524999999997</v>
      </c>
      <c r="M7" s="1490">
        <v>1.3750540000000002</v>
      </c>
      <c r="N7" s="1491">
        <v>8.5145166808311732</v>
      </c>
      <c r="O7" s="1490">
        <v>16.130614000000001</v>
      </c>
      <c r="P7" s="1490">
        <v>1.4339209999999998</v>
      </c>
      <c r="Q7" s="1491">
        <v>8.8894384305519907</v>
      </c>
      <c r="R7" s="1490">
        <v>15.92420700000001</v>
      </c>
      <c r="S7" s="1490">
        <v>1.3947449999999999</v>
      </c>
      <c r="T7" s="1491">
        <v>8.7586465059139158</v>
      </c>
      <c r="U7" s="1490">
        <v>13.721590000000001</v>
      </c>
      <c r="V7" s="1490">
        <v>1.070549</v>
      </c>
      <c r="W7" s="2353">
        <v>7.801931117312205</v>
      </c>
    </row>
    <row r="8" spans="1:25" ht="45" customHeight="1" x14ac:dyDescent="0.25">
      <c r="A8" s="1176"/>
      <c r="B8" s="1176"/>
      <c r="C8" s="1488">
        <v>3</v>
      </c>
      <c r="D8" s="3214"/>
      <c r="E8" s="1489" t="s">
        <v>1005</v>
      </c>
      <c r="F8" s="1490">
        <v>7.7904020000000012</v>
      </c>
      <c r="G8" s="1491">
        <v>0.65338699999999994</v>
      </c>
      <c r="H8" s="1491">
        <f t="shared" si="0"/>
        <v>8.3870768158048818</v>
      </c>
      <c r="I8" s="1490">
        <v>8.0944999999999983</v>
      </c>
      <c r="J8" s="1490">
        <v>0.67309299999999994</v>
      </c>
      <c r="K8" s="1491">
        <f t="shared" si="1"/>
        <v>8.315436407437149</v>
      </c>
      <c r="L8" s="1490">
        <v>8.8563600000000022</v>
      </c>
      <c r="M8" s="1490">
        <v>0.86397799999999991</v>
      </c>
      <c r="N8" s="1491">
        <v>9.7554525787117932</v>
      </c>
      <c r="O8" s="1490">
        <v>8.4680270000000011</v>
      </c>
      <c r="P8" s="1490">
        <v>0.77970899999999999</v>
      </c>
      <c r="Q8" s="1491">
        <v>9.2076820255769132</v>
      </c>
      <c r="R8" s="1490">
        <v>7.1853319999999963</v>
      </c>
      <c r="S8" s="1490">
        <v>0.66033699999999995</v>
      </c>
      <c r="T8" s="1491">
        <v>9.1900694359008099</v>
      </c>
      <c r="U8" s="1490">
        <v>8.8193729999999988</v>
      </c>
      <c r="V8" s="1490">
        <v>0.77451499999999995</v>
      </c>
      <c r="W8" s="2353">
        <v>8.7819735031050392</v>
      </c>
    </row>
    <row r="9" spans="1:25" ht="45" customHeight="1" x14ac:dyDescent="0.25">
      <c r="A9" s="1176"/>
      <c r="B9" s="1176"/>
      <c r="C9" s="1488">
        <v>4</v>
      </c>
      <c r="D9" s="3214"/>
      <c r="E9" s="1489" t="s">
        <v>1006</v>
      </c>
      <c r="F9" s="1490">
        <v>9.7924140000000026</v>
      </c>
      <c r="G9" s="1491">
        <v>0.68765200000000004</v>
      </c>
      <c r="H9" s="1491">
        <f t="shared" si="0"/>
        <v>7.0222929708649975</v>
      </c>
      <c r="I9" s="1490">
        <v>10.214754000000001</v>
      </c>
      <c r="J9" s="1490">
        <v>0.67014900000000011</v>
      </c>
      <c r="K9" s="1491">
        <f t="shared" si="1"/>
        <v>6.5605985224901167</v>
      </c>
      <c r="L9" s="1490">
        <v>10.101291000000002</v>
      </c>
      <c r="M9" s="1490">
        <v>0.654891</v>
      </c>
      <c r="N9" s="1491">
        <v>6.4832406075619433</v>
      </c>
      <c r="O9" s="1490">
        <v>9.7452129999999997</v>
      </c>
      <c r="P9" s="1490">
        <v>0.63688700000000009</v>
      </c>
      <c r="Q9" s="1491">
        <v>6.5353830644850976</v>
      </c>
      <c r="R9" s="1490">
        <v>8.4764319999999973</v>
      </c>
      <c r="S9" s="1490">
        <v>0.55811199999999994</v>
      </c>
      <c r="T9" s="1491">
        <v>6.5842798007463541</v>
      </c>
      <c r="U9" s="1490">
        <v>10.561246000000001</v>
      </c>
      <c r="V9" s="1490">
        <v>0.55638700000000008</v>
      </c>
      <c r="W9" s="2353">
        <v>5.2681946808170181</v>
      </c>
    </row>
    <row r="10" spans="1:25" ht="45" customHeight="1" x14ac:dyDescent="0.25">
      <c r="A10" s="1176"/>
      <c r="B10" s="1176"/>
      <c r="C10" s="1488">
        <v>5</v>
      </c>
      <c r="D10" s="3214"/>
      <c r="E10" s="1489" t="s">
        <v>1007</v>
      </c>
      <c r="F10" s="1490">
        <v>17.340546</v>
      </c>
      <c r="G10" s="1491">
        <v>1.4101080000000001</v>
      </c>
      <c r="H10" s="1491">
        <f t="shared" si="0"/>
        <v>8.1318546717041098</v>
      </c>
      <c r="I10" s="1490">
        <v>17.258867000000002</v>
      </c>
      <c r="J10" s="1490">
        <v>1.3692170000000001</v>
      </c>
      <c r="K10" s="1491">
        <f t="shared" si="1"/>
        <v>7.9334118514268628</v>
      </c>
      <c r="L10" s="1490">
        <v>15.141905999999999</v>
      </c>
      <c r="M10" s="1490">
        <v>1.362959</v>
      </c>
      <c r="N10" s="1491">
        <v>9.0012380211579703</v>
      </c>
      <c r="O10" s="1490">
        <v>15.913302000000002</v>
      </c>
      <c r="P10" s="1490">
        <v>1.3742729999999999</v>
      </c>
      <c r="Q10" s="1491">
        <v>8.6360015036477016</v>
      </c>
      <c r="R10" s="1490">
        <v>16.502593999999988</v>
      </c>
      <c r="S10" s="1490">
        <v>1.4687860000000001</v>
      </c>
      <c r="T10" s="1491">
        <v>8.9003340929310948</v>
      </c>
      <c r="U10" s="1490">
        <v>17.297334000000003</v>
      </c>
      <c r="V10" s="1490">
        <v>1.0724850000000001</v>
      </c>
      <c r="W10" s="2353">
        <v>6.2002907500080644</v>
      </c>
    </row>
    <row r="11" spans="1:25" ht="45" customHeight="1" x14ac:dyDescent="0.25">
      <c r="A11" s="1176"/>
      <c r="B11" s="1176"/>
      <c r="C11" s="1488">
        <v>6</v>
      </c>
      <c r="D11" s="3214"/>
      <c r="E11" s="1489" t="s">
        <v>1008</v>
      </c>
      <c r="F11" s="1490">
        <v>1.2722430000000002</v>
      </c>
      <c r="G11" s="1491">
        <v>0.13010900000000003</v>
      </c>
      <c r="H11" s="1491">
        <f t="shared" si="0"/>
        <v>10.22674127505516</v>
      </c>
      <c r="I11" s="1490">
        <v>1.1754010000000001</v>
      </c>
      <c r="J11" s="1490">
        <v>0.11190399999999999</v>
      </c>
      <c r="K11" s="1491">
        <f t="shared" si="1"/>
        <v>9.520495558537041</v>
      </c>
      <c r="L11" s="1490">
        <v>1.4427619999999997</v>
      </c>
      <c r="M11" s="1490">
        <v>0.126078</v>
      </c>
      <c r="N11" s="1491">
        <v>8.738655440051792</v>
      </c>
      <c r="O11" s="1490">
        <v>1.344103</v>
      </c>
      <c r="P11" s="1490">
        <v>0.11506499999999999</v>
      </c>
      <c r="Q11" s="1491">
        <v>8.5607278608856614</v>
      </c>
      <c r="R11" s="1490">
        <v>1.3478639999999984</v>
      </c>
      <c r="S11" s="1493">
        <v>0.13522899999999999</v>
      </c>
      <c r="T11" s="1491">
        <v>10.032837140839145</v>
      </c>
      <c r="U11" s="1490">
        <v>1.5572440000000001</v>
      </c>
      <c r="V11" s="1493">
        <v>0.129769</v>
      </c>
      <c r="W11" s="2353">
        <v>8.3332477119834785</v>
      </c>
    </row>
    <row r="12" spans="1:25" ht="45" customHeight="1" x14ac:dyDescent="0.25">
      <c r="A12" s="1176"/>
      <c r="B12" s="1176"/>
      <c r="C12" s="1488">
        <v>7</v>
      </c>
      <c r="D12" s="3214"/>
      <c r="E12" s="1489" t="s">
        <v>1009</v>
      </c>
      <c r="F12" s="1490">
        <v>0.74054900000000012</v>
      </c>
      <c r="G12" s="1491">
        <v>7.5938999999999993E-2</v>
      </c>
      <c r="H12" s="1491">
        <f t="shared" si="0"/>
        <v>10.254419356450414</v>
      </c>
      <c r="I12" s="1490">
        <v>0.753251</v>
      </c>
      <c r="J12" s="1490">
        <v>7.5456000000000009E-2</v>
      </c>
      <c r="K12" s="1491">
        <f t="shared" si="1"/>
        <v>10.017378005472281</v>
      </c>
      <c r="L12" s="1490">
        <v>0.79966000000000004</v>
      </c>
      <c r="M12" s="1490">
        <v>8.2799000000000011E-2</v>
      </c>
      <c r="N12" s="1491">
        <v>10.354275567116026</v>
      </c>
      <c r="O12" s="1490">
        <v>0.793821</v>
      </c>
      <c r="P12" s="1490">
        <v>8.3129000000000022E-2</v>
      </c>
      <c r="Q12" s="1491">
        <v>10.472008173127195</v>
      </c>
      <c r="R12" s="1490">
        <v>0.82806800000000003</v>
      </c>
      <c r="S12" s="1493">
        <v>8.7038000000000004E-2</v>
      </c>
      <c r="T12" s="1491">
        <v>10.510972528826134</v>
      </c>
      <c r="U12" s="1490">
        <v>0.79370299999999994</v>
      </c>
      <c r="V12" s="1493">
        <v>7.338299999999999E-2</v>
      </c>
      <c r="W12" s="2353">
        <v>9.245649821154764</v>
      </c>
    </row>
    <row r="13" spans="1:25" ht="65.25" customHeight="1" x14ac:dyDescent="0.25">
      <c r="A13" s="1176"/>
      <c r="B13" s="1176"/>
      <c r="C13" s="1488">
        <v>8</v>
      </c>
      <c r="D13" s="3214"/>
      <c r="E13" s="1494" t="s">
        <v>1010</v>
      </c>
      <c r="F13" s="1490">
        <v>2.4398559999999998</v>
      </c>
      <c r="G13" s="1491">
        <v>0.211864</v>
      </c>
      <c r="H13" s="1491">
        <f t="shared" si="0"/>
        <v>8.6834632863578829</v>
      </c>
      <c r="I13" s="1490">
        <v>2.5729169999999995</v>
      </c>
      <c r="J13" s="1490">
        <v>0.20974799999999999</v>
      </c>
      <c r="K13" s="1491">
        <f t="shared" si="1"/>
        <v>8.1521479317055316</v>
      </c>
      <c r="L13" s="1490">
        <v>2.9103500000000002</v>
      </c>
      <c r="M13" s="1490">
        <v>0.343167</v>
      </c>
      <c r="N13" s="1491">
        <v>11.7912622193207</v>
      </c>
      <c r="O13" s="1490">
        <v>3.1688920000000005</v>
      </c>
      <c r="P13" s="1490">
        <v>0.36551800000000001</v>
      </c>
      <c r="Q13" s="1491">
        <v>11.534567918376517</v>
      </c>
      <c r="R13" s="1490">
        <v>2.9225239999999988</v>
      </c>
      <c r="S13" s="1490">
        <v>0.32576699999999997</v>
      </c>
      <c r="T13" s="1491">
        <v>11.146769025677807</v>
      </c>
      <c r="U13" s="1490">
        <v>3.3479869999999998</v>
      </c>
      <c r="V13" s="1490">
        <v>0.31937199999999999</v>
      </c>
      <c r="W13" s="2353">
        <v>9.5392246146714434</v>
      </c>
    </row>
    <row r="14" spans="1:25" ht="45" customHeight="1" x14ac:dyDescent="0.25">
      <c r="A14" s="1176"/>
      <c r="B14" s="1176"/>
      <c r="C14" s="1488">
        <v>9</v>
      </c>
      <c r="D14" s="3214"/>
      <c r="E14" s="1489" t="s">
        <v>1011</v>
      </c>
      <c r="F14" s="1490">
        <v>12.730437000000002</v>
      </c>
      <c r="G14" s="1490">
        <v>1.3928309999999999</v>
      </c>
      <c r="H14" s="1491">
        <f t="shared" si="0"/>
        <v>10.940951987744016</v>
      </c>
      <c r="I14" s="1490">
        <v>14.616385000000003</v>
      </c>
      <c r="J14" s="1490">
        <v>1.4311200000000002</v>
      </c>
      <c r="K14" s="1491">
        <f t="shared" si="1"/>
        <v>9.7912035020971313</v>
      </c>
      <c r="L14" s="1490">
        <v>13.712073999999998</v>
      </c>
      <c r="M14" s="1490">
        <v>1.3701839999999996</v>
      </c>
      <c r="N14" s="1491">
        <v>9.9925365046892249</v>
      </c>
      <c r="O14" s="1490">
        <v>15.370604999999996</v>
      </c>
      <c r="P14" s="1490">
        <v>1.574497</v>
      </c>
      <c r="Q14" s="1491">
        <v>10.243559053140721</v>
      </c>
      <c r="R14" s="1490">
        <v>14.893285000000001</v>
      </c>
      <c r="S14" s="1490">
        <v>1.541933</v>
      </c>
      <c r="T14" s="1491">
        <v>10.353209516906444</v>
      </c>
      <c r="U14" s="1490">
        <v>16.618995000000002</v>
      </c>
      <c r="V14" s="1490">
        <v>1.4927539999999999</v>
      </c>
      <c r="W14" s="2353">
        <v>8.9822158319441083</v>
      </c>
    </row>
    <row r="15" spans="1:25" ht="76.5" customHeight="1" x14ac:dyDescent="0.25">
      <c r="A15" s="1176"/>
      <c r="B15" s="1495" t="s">
        <v>2519</v>
      </c>
      <c r="C15" s="1488"/>
      <c r="D15" s="3215"/>
      <c r="E15" s="1496" t="s">
        <v>1123</v>
      </c>
      <c r="F15" s="1497">
        <f>SUM(F6:F14)</f>
        <v>72.571957000000012</v>
      </c>
      <c r="G15" s="1497">
        <f>SUM(G6:G14)</f>
        <v>6.3573520000000006</v>
      </c>
      <c r="H15" s="1497"/>
      <c r="I15" s="1497">
        <f>SUM(I6:I14)</f>
        <v>75.738057999999995</v>
      </c>
      <c r="J15" s="1497">
        <f>SUM(J6:J14)</f>
        <v>6.4358830000000005</v>
      </c>
      <c r="K15" s="1497"/>
      <c r="L15" s="1497">
        <v>75.985690000000005</v>
      </c>
      <c r="M15" s="1497">
        <v>6.7848790000000001</v>
      </c>
      <c r="N15" s="1497"/>
      <c r="O15" s="1497">
        <v>77.726016999999999</v>
      </c>
      <c r="P15" s="1497">
        <v>6.9469550000000009</v>
      </c>
      <c r="Q15" s="1497"/>
      <c r="R15" s="1497">
        <v>74.804999999999993</v>
      </c>
      <c r="S15" s="1497">
        <v>6.6956119999999997</v>
      </c>
      <c r="T15" s="1497"/>
      <c r="U15" s="1497">
        <v>79.368036000000004</v>
      </c>
      <c r="V15" s="1497">
        <v>6</v>
      </c>
      <c r="W15" s="2354"/>
    </row>
    <row r="16" spans="1:25" ht="45" customHeight="1" x14ac:dyDescent="0.25">
      <c r="A16" s="1176"/>
      <c r="B16" s="1176"/>
      <c r="C16" s="1488">
        <v>10</v>
      </c>
      <c r="D16" s="3213" t="s">
        <v>1099</v>
      </c>
      <c r="E16" s="1498" t="s">
        <v>1013</v>
      </c>
      <c r="F16" s="1499">
        <v>8.6446985205999987</v>
      </c>
      <c r="G16" s="1491">
        <v>0.62056838268932801</v>
      </c>
      <c r="H16" s="1491">
        <f t="shared" si="0"/>
        <v>7.1786006326367122</v>
      </c>
      <c r="I16" s="1499">
        <v>8.8331053860453341</v>
      </c>
      <c r="J16" s="1490">
        <v>0.61405329805807018</v>
      </c>
      <c r="K16" s="1491">
        <f t="shared" si="1"/>
        <v>6.9517261622187858</v>
      </c>
      <c r="L16" s="1499">
        <v>9.8123175328999981</v>
      </c>
      <c r="M16" s="1490">
        <v>0.72589749770929979</v>
      </c>
      <c r="N16" s="1491">
        <v>7.3978190705245463</v>
      </c>
      <c r="O16" s="1499">
        <v>9.706741862957001</v>
      </c>
      <c r="P16" s="1490">
        <v>0.69760354750541509</v>
      </c>
      <c r="Q16" s="1491">
        <v>7.18679405875229</v>
      </c>
      <c r="R16" s="1499">
        <v>10.043818339390002</v>
      </c>
      <c r="S16" s="1490">
        <v>0.73842291972269991</v>
      </c>
      <c r="T16" s="1491">
        <v>7.3520138932296444</v>
      </c>
      <c r="U16" s="1499">
        <v>10.006691956000001</v>
      </c>
      <c r="V16" s="1490">
        <v>0.68062979287199987</v>
      </c>
      <c r="W16" s="2353">
        <v>6.8017462300705187</v>
      </c>
    </row>
    <row r="17" spans="1:23" ht="45" customHeight="1" x14ac:dyDescent="0.25">
      <c r="A17" s="1176"/>
      <c r="B17" s="1176"/>
      <c r="C17" s="1488">
        <v>11</v>
      </c>
      <c r="D17" s="3214"/>
      <c r="E17" s="1500" t="s">
        <v>1014</v>
      </c>
      <c r="F17" s="1499">
        <v>9.6350106479999997</v>
      </c>
      <c r="G17" s="1491">
        <v>0.68784000735199924</v>
      </c>
      <c r="H17" s="1491">
        <f t="shared" si="0"/>
        <v>7.1389646828753479</v>
      </c>
      <c r="I17" s="1499">
        <v>9.7731385489999987</v>
      </c>
      <c r="J17" s="1490">
        <v>0.71665426229199991</v>
      </c>
      <c r="K17" s="1491">
        <f t="shared" si="1"/>
        <v>7.3328978065631638</v>
      </c>
      <c r="L17" s="1490">
        <v>9.2866363239999998</v>
      </c>
      <c r="M17" s="1490">
        <v>0.70005283300000021</v>
      </c>
      <c r="N17" s="1491">
        <v>7.5382819847355549</v>
      </c>
      <c r="O17" s="1499">
        <v>12.688753755999999</v>
      </c>
      <c r="P17" s="1490">
        <v>0.92610201027899919</v>
      </c>
      <c r="Q17" s="1491">
        <v>7.2986049543366933</v>
      </c>
      <c r="R17" s="1499">
        <v>15.309831772999994</v>
      </c>
      <c r="S17" s="1490">
        <v>1.0863181679290101</v>
      </c>
      <c r="T17" s="1491">
        <v>7.0955591415760129</v>
      </c>
      <c r="U17" s="1499">
        <v>16.036499649</v>
      </c>
      <c r="V17" s="1490">
        <v>1.2183345280543876</v>
      </c>
      <c r="W17" s="2353">
        <v>7.5972597182724995</v>
      </c>
    </row>
    <row r="18" spans="1:23" ht="73.5" customHeight="1" x14ac:dyDescent="0.25">
      <c r="A18" s="1176"/>
      <c r="B18" s="1176"/>
      <c r="C18" s="1488">
        <v>12</v>
      </c>
      <c r="D18" s="3214"/>
      <c r="E18" s="1500" t="s">
        <v>1015</v>
      </c>
      <c r="F18" s="1499">
        <v>8.9379080000000002</v>
      </c>
      <c r="G18" s="1491">
        <v>0.55180600000000002</v>
      </c>
      <c r="H18" s="1491">
        <f t="shared" si="0"/>
        <v>6.1737713120340914</v>
      </c>
      <c r="I18" s="1499">
        <v>12.586894000000003</v>
      </c>
      <c r="J18" s="1490">
        <v>0.73088200000000003</v>
      </c>
      <c r="K18" s="1491">
        <f t="shared" si="1"/>
        <v>5.806690673648319</v>
      </c>
      <c r="L18" s="1499">
        <v>12.788075999999998</v>
      </c>
      <c r="M18" s="1490">
        <v>0.92783700000000013</v>
      </c>
      <c r="N18" s="1491">
        <v>7.2554855007117602</v>
      </c>
      <c r="O18" s="1499">
        <v>12.911332</v>
      </c>
      <c r="P18" s="1490">
        <v>0.71732300000000004</v>
      </c>
      <c r="Q18" s="1491">
        <v>5.5557629530400119</v>
      </c>
      <c r="R18" s="1499">
        <v>13.458865655851483</v>
      </c>
      <c r="S18" s="1490">
        <v>0.79676199999999997</v>
      </c>
      <c r="T18" s="1491">
        <v>5.9199788479469175</v>
      </c>
      <c r="U18" s="1499">
        <v>11.69367320638006</v>
      </c>
      <c r="V18" s="1490">
        <v>0.63130400000000009</v>
      </c>
      <c r="W18" s="2353">
        <v>5.3986800285778553</v>
      </c>
    </row>
    <row r="19" spans="1:23" ht="45" customHeight="1" x14ac:dyDescent="0.25">
      <c r="A19" s="1176"/>
      <c r="B19" s="1176"/>
      <c r="C19" s="1488"/>
      <c r="D19" s="3215"/>
      <c r="E19" s="1496" t="s">
        <v>1124</v>
      </c>
      <c r="F19" s="1497">
        <f>SUM(F16:F18)</f>
        <v>27.2176171686</v>
      </c>
      <c r="G19" s="1497">
        <f>SUM(G16:G18)</f>
        <v>1.8602143900413273</v>
      </c>
      <c r="H19" s="1497"/>
      <c r="I19" s="1497">
        <f>SUM(I16:I18)</f>
        <v>31.193137935045335</v>
      </c>
      <c r="J19" s="1497">
        <f>SUM(J16:J18)</f>
        <v>2.06158956035007</v>
      </c>
      <c r="K19" s="1497"/>
      <c r="L19" s="1497">
        <v>31.887029856899993</v>
      </c>
      <c r="M19" s="1497">
        <v>2.3537873307093</v>
      </c>
      <c r="N19" s="1497"/>
      <c r="O19" s="1497">
        <v>35.306827618957001</v>
      </c>
      <c r="P19" s="1497">
        <v>2.3410285577844143</v>
      </c>
      <c r="Q19" s="1497"/>
      <c r="R19" s="1497">
        <v>38.812515768241482</v>
      </c>
      <c r="S19" s="1497">
        <v>2.62150308765171</v>
      </c>
      <c r="T19" s="1497"/>
      <c r="U19" s="1497">
        <v>37.74</v>
      </c>
      <c r="V19" s="1497">
        <v>2.5</v>
      </c>
      <c r="W19" s="2354"/>
    </row>
    <row r="20" spans="1:23" ht="45" customHeight="1" x14ac:dyDescent="0.25">
      <c r="A20" s="1176"/>
      <c r="B20" s="1176"/>
      <c r="C20" s="1488">
        <v>13</v>
      </c>
      <c r="D20" s="3213" t="s">
        <v>1098</v>
      </c>
      <c r="E20" s="1489" t="s">
        <v>1013</v>
      </c>
      <c r="F20" s="1490">
        <v>14.286514137714247</v>
      </c>
      <c r="G20" s="1491">
        <v>0.65093767124399993</v>
      </c>
      <c r="H20" s="1491">
        <f t="shared" si="0"/>
        <v>4.556308592630181</v>
      </c>
      <c r="I20" s="1490">
        <v>14.848909005252464</v>
      </c>
      <c r="J20" s="1490">
        <v>0.58856689469999957</v>
      </c>
      <c r="K20" s="1491">
        <f t="shared" si="1"/>
        <v>3.9637046364268742</v>
      </c>
      <c r="L20" s="1490">
        <v>14.614444251468814</v>
      </c>
      <c r="M20" s="1490">
        <v>0.71698493909405381</v>
      </c>
      <c r="N20" s="1491">
        <v>4.906002080934373</v>
      </c>
      <c r="O20" s="1490">
        <v>15.199289680869846</v>
      </c>
      <c r="P20" s="1490">
        <v>0.69797913812940071</v>
      </c>
      <c r="Q20" s="1491">
        <v>4.5921826136907722</v>
      </c>
      <c r="R20" s="1490">
        <v>15.607360716354787</v>
      </c>
      <c r="S20" s="1490">
        <v>0.69577867415749994</v>
      </c>
      <c r="T20" s="1491">
        <v>4.4580162322281751</v>
      </c>
      <c r="U20" s="1490">
        <v>16.079853809999999</v>
      </c>
      <c r="V20" s="1490">
        <v>0.71144237688370437</v>
      </c>
      <c r="W20" s="2353">
        <v>4.4244331154382825</v>
      </c>
    </row>
    <row r="21" spans="1:23" ht="45" customHeight="1" x14ac:dyDescent="0.25">
      <c r="A21" s="1176"/>
      <c r="B21" s="1176"/>
      <c r="C21" s="1488">
        <v>14</v>
      </c>
      <c r="D21" s="3214"/>
      <c r="E21" s="1498" t="s">
        <v>882</v>
      </c>
      <c r="F21" s="1490">
        <v>14.497869734197799</v>
      </c>
      <c r="G21" s="1491">
        <v>1.1160496640406155</v>
      </c>
      <c r="H21" s="1491">
        <f t="shared" si="0"/>
        <v>7.6980251892321823</v>
      </c>
      <c r="I21" s="1490">
        <v>16.391607915216483</v>
      </c>
      <c r="J21" s="1490">
        <v>1.2722010280544438</v>
      </c>
      <c r="K21" s="1491">
        <f t="shared" si="1"/>
        <v>7.7612948933060295</v>
      </c>
      <c r="L21" s="1490">
        <v>16.411339510111997</v>
      </c>
      <c r="M21" s="1490">
        <v>1.4352539927020003</v>
      </c>
      <c r="N21" s="1491">
        <v>8.7455018026874374</v>
      </c>
      <c r="O21" s="1490">
        <v>17.712149885366799</v>
      </c>
      <c r="P21" s="1490">
        <v>1.4747762651667997</v>
      </c>
      <c r="Q21" s="1491">
        <v>8.3263538007049718</v>
      </c>
      <c r="R21" s="1490">
        <v>17.601859547547004</v>
      </c>
      <c r="S21" s="1490">
        <v>1.5319137315469997</v>
      </c>
      <c r="T21" s="1491">
        <v>8.7031357534067322</v>
      </c>
      <c r="U21" s="1490">
        <v>18.094807342647002</v>
      </c>
      <c r="V21" s="1490">
        <v>1.3819611655112001</v>
      </c>
      <c r="W21" s="2353">
        <v>7.6373356142571653</v>
      </c>
    </row>
    <row r="22" spans="1:23" ht="48.75" customHeight="1" x14ac:dyDescent="0.25">
      <c r="A22" s="1176"/>
      <c r="B22" s="1176"/>
      <c r="C22" s="1488">
        <v>15</v>
      </c>
      <c r="D22" s="3214"/>
      <c r="E22" s="1500" t="s">
        <v>1114</v>
      </c>
      <c r="F22" s="1490">
        <v>6.7350606950000014</v>
      </c>
      <c r="G22" s="1491">
        <v>0.65296513766514008</v>
      </c>
      <c r="H22" s="1491">
        <f t="shared" si="0"/>
        <v>9.6950148964491252</v>
      </c>
      <c r="I22" s="1490">
        <v>5.7283602349999994</v>
      </c>
      <c r="J22" s="1490">
        <v>0.58521616603374971</v>
      </c>
      <c r="K22" s="1491">
        <f t="shared" si="1"/>
        <v>10.216120181445778</v>
      </c>
      <c r="L22" s="1490">
        <v>7.8428644052100003</v>
      </c>
      <c r="M22" s="1490">
        <v>0.79995851914699956</v>
      </c>
      <c r="N22" s="1491">
        <v>10.199825954093873</v>
      </c>
      <c r="O22" s="1490">
        <v>7.132731315</v>
      </c>
      <c r="P22" s="1490">
        <v>0.75095049122999935</v>
      </c>
      <c r="Q22" s="1491">
        <v>10.528231866112279</v>
      </c>
      <c r="R22" s="1490">
        <v>7.7088550939999996</v>
      </c>
      <c r="S22" s="1490">
        <v>0.74755219537600048</v>
      </c>
      <c r="T22" s="1491">
        <v>9.6973180356942965</v>
      </c>
      <c r="U22" s="1490">
        <v>7.3910412789999986</v>
      </c>
      <c r="V22" s="1490">
        <v>0.67054606998599964</v>
      </c>
      <c r="W22" s="2353">
        <v>9.0724167904623574</v>
      </c>
    </row>
    <row r="23" spans="1:23" ht="45" customHeight="1" x14ac:dyDescent="0.25">
      <c r="A23" s="1176"/>
      <c r="B23" s="1176"/>
      <c r="C23" s="1488"/>
      <c r="D23" s="3214"/>
      <c r="E23" s="1496" t="s">
        <v>1125</v>
      </c>
      <c r="F23" s="1497">
        <f>SUM(F20:F22)</f>
        <v>35.51944456691205</v>
      </c>
      <c r="G23" s="1497">
        <f>SUM(G20:G22)</f>
        <v>2.4199524729497557</v>
      </c>
      <c r="H23" s="1497"/>
      <c r="I23" s="1497">
        <f>SUM(I20:I22)</f>
        <v>36.968877155468945</v>
      </c>
      <c r="J23" s="1497">
        <f>SUM(J20:J22)</f>
        <v>2.445984088788193</v>
      </c>
      <c r="K23" s="1497"/>
      <c r="L23" s="1497">
        <v>38.868648166790813</v>
      </c>
      <c r="M23" s="1497">
        <v>2.9521974509430535</v>
      </c>
      <c r="N23" s="1497"/>
      <c r="O23" s="1497">
        <v>40.044170881236646</v>
      </c>
      <c r="P23" s="1497">
        <v>2.9237058945261998</v>
      </c>
      <c r="Q23" s="1497"/>
      <c r="R23" s="1497">
        <v>40.918075357901792</v>
      </c>
      <c r="S23" s="1497">
        <v>2.9752446010805</v>
      </c>
      <c r="T23" s="1497"/>
      <c r="U23" s="1497">
        <v>41.6</v>
      </c>
      <c r="V23" s="1497">
        <v>2.9</v>
      </c>
      <c r="W23" s="2354"/>
    </row>
    <row r="24" spans="1:23" ht="45" customHeight="1" x14ac:dyDescent="0.25">
      <c r="A24" s="1176"/>
      <c r="B24" s="1176"/>
      <c r="C24" s="1488">
        <v>16</v>
      </c>
      <c r="D24" s="1492"/>
      <c r="E24" s="1496" t="s">
        <v>1022</v>
      </c>
      <c r="F24" s="1497">
        <v>3.1318156528436538</v>
      </c>
      <c r="G24" s="1501">
        <v>0.31635013260791711</v>
      </c>
      <c r="H24" s="1501">
        <f t="shared" si="0"/>
        <v>10.101173494061655</v>
      </c>
      <c r="I24" s="1497">
        <v>3.1720906590332953</v>
      </c>
      <c r="J24" s="1497">
        <v>0.30128024800840186</v>
      </c>
      <c r="K24" s="1501">
        <f t="shared" si="1"/>
        <v>9.4978448093982895</v>
      </c>
      <c r="L24" s="1497">
        <v>3.3833458177130002</v>
      </c>
      <c r="M24" s="1497">
        <v>0.32069445578578387</v>
      </c>
      <c r="N24" s="1501">
        <v>9.478618889823089</v>
      </c>
      <c r="O24" s="1497">
        <v>2.7926834167734471</v>
      </c>
      <c r="P24" s="1497">
        <v>0.28369590990236682</v>
      </c>
      <c r="Q24" s="1501">
        <v>10.158541716487777</v>
      </c>
      <c r="R24" s="1497">
        <v>3.3888031020145934</v>
      </c>
      <c r="S24" s="1497">
        <v>0.35008010340874357</v>
      </c>
      <c r="T24" s="1501">
        <v>10.33049406737813</v>
      </c>
      <c r="U24" s="1497">
        <v>3.3027600486304487</v>
      </c>
      <c r="V24" s="1497">
        <v>0.31950822623407266</v>
      </c>
      <c r="W24" s="2353"/>
    </row>
    <row r="25" spans="1:23" ht="45" customHeight="1" x14ac:dyDescent="0.25">
      <c r="A25" s="1176"/>
      <c r="B25" s="1176"/>
      <c r="C25" s="1488">
        <v>17</v>
      </c>
      <c r="D25" s="3213" t="s">
        <v>1100</v>
      </c>
      <c r="E25" s="1500" t="s">
        <v>1019</v>
      </c>
      <c r="F25" s="1490">
        <v>10.374006160805358</v>
      </c>
      <c r="G25" s="1491">
        <v>1.0109067730000001</v>
      </c>
      <c r="H25" s="1491">
        <f t="shared" si="0"/>
        <v>9.7446131931111282</v>
      </c>
      <c r="I25" s="1490">
        <v>10.346148054042857</v>
      </c>
      <c r="J25" s="1490">
        <v>1.0631785439999999</v>
      </c>
      <c r="K25" s="1491">
        <f t="shared" si="1"/>
        <v>10.276080899350291</v>
      </c>
      <c r="L25" s="1490">
        <v>11.585277232000001</v>
      </c>
      <c r="M25" s="1490">
        <v>1.0493351079999995</v>
      </c>
      <c r="N25" s="1491">
        <v>9.0574881117354984</v>
      </c>
      <c r="O25" s="1490">
        <v>12.082710166</v>
      </c>
      <c r="P25" s="1490">
        <v>1.1024804136999995</v>
      </c>
      <c r="Q25" s="1491">
        <v>9.1244464077464276</v>
      </c>
      <c r="R25" s="1490">
        <v>10.980598558900002</v>
      </c>
      <c r="S25" s="1490">
        <v>0.93420251537600008</v>
      </c>
      <c r="T25" s="1491">
        <v>8.5077558419509796</v>
      </c>
      <c r="U25" s="1490">
        <v>12.062503215</v>
      </c>
      <c r="V25" s="1490">
        <v>0.90994513199999982</v>
      </c>
      <c r="W25" s="2353">
        <v>7.5435845759482341</v>
      </c>
    </row>
    <row r="26" spans="1:23" ht="45" customHeight="1" x14ac:dyDescent="0.25">
      <c r="A26" s="1176"/>
      <c r="B26" s="1176"/>
      <c r="C26" s="1488">
        <v>18</v>
      </c>
      <c r="D26" s="3214"/>
      <c r="E26" s="1502" t="s">
        <v>1020</v>
      </c>
      <c r="F26" s="1490">
        <v>0.52821999999999991</v>
      </c>
      <c r="G26" s="1491">
        <v>2.6272999999999998E-2</v>
      </c>
      <c r="H26" s="1491">
        <f t="shared" si="0"/>
        <v>4.9738745219794787</v>
      </c>
      <c r="I26" s="1490">
        <v>0.44802700000000006</v>
      </c>
      <c r="J26" s="1493">
        <v>2.266E-2</v>
      </c>
      <c r="K26" s="1491">
        <f t="shared" si="1"/>
        <v>5.0577308956826252</v>
      </c>
      <c r="L26" s="1490">
        <v>0</v>
      </c>
      <c r="M26" s="1490">
        <v>0</v>
      </c>
      <c r="N26" s="1491">
        <v>0</v>
      </c>
      <c r="O26" s="1490">
        <v>0</v>
      </c>
      <c r="P26" s="1490">
        <v>0</v>
      </c>
      <c r="Q26" s="1491">
        <v>0</v>
      </c>
      <c r="R26" s="1490">
        <v>0</v>
      </c>
      <c r="S26" s="1490">
        <v>0</v>
      </c>
      <c r="T26" s="1491"/>
      <c r="U26" s="1490">
        <v>0</v>
      </c>
      <c r="V26" s="1490">
        <v>0</v>
      </c>
      <c r="W26" s="2353"/>
    </row>
    <row r="27" spans="1:23" ht="45" customHeight="1" x14ac:dyDescent="0.25">
      <c r="A27" s="1176"/>
      <c r="B27" s="1176"/>
      <c r="C27" s="1488"/>
      <c r="D27" s="3215"/>
      <c r="E27" s="1496" t="s">
        <v>1126</v>
      </c>
      <c r="F27" s="1497">
        <f>SUM(F25:F26)</f>
        <v>10.902226160805357</v>
      </c>
      <c r="G27" s="1497">
        <f>SUM(G25:G26)</f>
        <v>1.0371797730000001</v>
      </c>
      <c r="H27" s="1497"/>
      <c r="I27" s="1497">
        <f>SUM(I25:I26)</f>
        <v>10.794175054042856</v>
      </c>
      <c r="J27" s="1497">
        <f>SUM(J25:J26)</f>
        <v>1.0858385439999998</v>
      </c>
      <c r="K27" s="1497"/>
      <c r="L27" s="1497">
        <v>11.585277232000001</v>
      </c>
      <c r="M27" s="1497">
        <v>1.0493351079999995</v>
      </c>
      <c r="N27" s="1497"/>
      <c r="O27" s="1497">
        <v>12.082710166</v>
      </c>
      <c r="P27" s="1497">
        <v>1.1024804136999995</v>
      </c>
      <c r="Q27" s="1497"/>
      <c r="R27" s="1497">
        <v>10.980598558900002</v>
      </c>
      <c r="S27" s="1497">
        <v>0.93420251537599985</v>
      </c>
      <c r="T27" s="1497"/>
      <c r="U27" s="1497">
        <v>12.1</v>
      </c>
      <c r="V27" s="1497">
        <v>0.9</v>
      </c>
      <c r="W27" s="2354"/>
    </row>
    <row r="28" spans="1:23" ht="45" customHeight="1" x14ac:dyDescent="0.25">
      <c r="A28" s="1176"/>
      <c r="B28" s="1176"/>
      <c r="C28" s="1488">
        <v>19</v>
      </c>
      <c r="D28" s="3213" t="s">
        <v>243</v>
      </c>
      <c r="E28" s="1500" t="s">
        <v>1023</v>
      </c>
      <c r="F28" s="1493">
        <v>7.9581654899999993E-2</v>
      </c>
      <c r="G28" s="1503">
        <v>4.2162630000000005E-3</v>
      </c>
      <c r="H28" s="1491">
        <f t="shared" si="0"/>
        <v>5.2980338311612574</v>
      </c>
      <c r="I28" s="1490">
        <v>6.6156253999999984E-2</v>
      </c>
      <c r="J28" s="1503">
        <v>3.3474409999999966E-3</v>
      </c>
      <c r="K28" s="1491">
        <f t="shared" si="1"/>
        <v>5.0599010639266204</v>
      </c>
      <c r="L28" s="1490">
        <v>7.3221177999999998E-2</v>
      </c>
      <c r="M28" s="1503">
        <v>3.0629099999999964E-3</v>
      </c>
      <c r="N28" s="1491">
        <v>4.1830930390111947</v>
      </c>
      <c r="O28" s="1490">
        <v>6.5409207999999996E-2</v>
      </c>
      <c r="P28" s="1503">
        <v>1.8288380000000015E-3</v>
      </c>
      <c r="Q28" s="1491">
        <v>2.7959947168294739</v>
      </c>
      <c r="R28" s="1493">
        <v>7.3759834895000001E-2</v>
      </c>
      <c r="S28" s="1503">
        <v>3.5189830000000037E-3</v>
      </c>
      <c r="T28" s="1491">
        <v>4.7708661563700803</v>
      </c>
      <c r="U28" s="1493">
        <v>7.4318623558999999E-2</v>
      </c>
      <c r="V28" s="1503">
        <v>1.4388950000000077E-3</v>
      </c>
      <c r="W28" s="2353">
        <v>1.9361163206389298</v>
      </c>
    </row>
    <row r="29" spans="1:23" ht="75" customHeight="1" x14ac:dyDescent="0.25">
      <c r="A29" s="1176"/>
      <c r="B29" s="1176"/>
      <c r="C29" s="1488">
        <v>20</v>
      </c>
      <c r="D29" s="3214"/>
      <c r="E29" s="1500" t="s">
        <v>1024</v>
      </c>
      <c r="F29" s="1490">
        <v>16.354462030000004</v>
      </c>
      <c r="G29" s="1491">
        <v>1.6645349999999999</v>
      </c>
      <c r="H29" s="1491">
        <f t="shared" si="0"/>
        <v>10.177864591000548</v>
      </c>
      <c r="I29" s="1490">
        <v>16.504377577600003</v>
      </c>
      <c r="J29" s="1490">
        <v>1.6897390000000001</v>
      </c>
      <c r="K29" s="1491">
        <f t="shared" si="1"/>
        <v>10.238126170194628</v>
      </c>
      <c r="L29" s="1490">
        <v>17.123781963300001</v>
      </c>
      <c r="M29" s="1490">
        <v>1.905522901393141</v>
      </c>
      <c r="N29" s="1491">
        <v>11.127932517927945</v>
      </c>
      <c r="O29" s="1490">
        <v>16.603025765563096</v>
      </c>
      <c r="P29" s="1490">
        <v>1.8275562103001868</v>
      </c>
      <c r="Q29" s="1491">
        <v>11.007368392397389</v>
      </c>
      <c r="R29" s="1490">
        <v>18.146237730986005</v>
      </c>
      <c r="S29" s="1490">
        <v>1.8960103125437004</v>
      </c>
      <c r="T29" s="1491">
        <v>10.44850365487126</v>
      </c>
      <c r="U29" s="1490">
        <v>16.880372997000002</v>
      </c>
      <c r="V29" s="1490">
        <v>1.6257224060000004</v>
      </c>
      <c r="W29" s="2353">
        <v>9.6308440950263687</v>
      </c>
    </row>
    <row r="30" spans="1:23" ht="60" customHeight="1" x14ac:dyDescent="0.25">
      <c r="A30" s="1176"/>
      <c r="B30" s="1176"/>
      <c r="C30" s="1488"/>
      <c r="D30" s="3215"/>
      <c r="E30" s="1496" t="s">
        <v>1127</v>
      </c>
      <c r="F30" s="1497">
        <f>SUM(F28:F29)</f>
        <v>16.434043684900004</v>
      </c>
      <c r="G30" s="1497">
        <f>SUM(G28:G29)</f>
        <v>1.6687512629999999</v>
      </c>
      <c r="H30" s="1497"/>
      <c r="I30" s="1497">
        <f>SUM(I28:I29)</f>
        <v>16.570533831600002</v>
      </c>
      <c r="J30" s="1497">
        <f>SUM(J28:J29)</f>
        <v>1.6930864410000002</v>
      </c>
      <c r="K30" s="1497"/>
      <c r="L30" s="1497">
        <v>17.197003141300002</v>
      </c>
      <c r="M30" s="1497">
        <v>1.9085858113931409</v>
      </c>
      <c r="N30" s="1497"/>
      <c r="O30" s="1497">
        <v>16.668434973563095</v>
      </c>
      <c r="P30" s="1497">
        <v>1.8293850483001868</v>
      </c>
      <c r="Q30" s="1497"/>
      <c r="R30" s="1497">
        <v>18.219997565881005</v>
      </c>
      <c r="S30" s="1497">
        <v>1.8995292955437004</v>
      </c>
      <c r="T30" s="1497"/>
      <c r="U30" s="1497">
        <v>16.95</v>
      </c>
      <c r="V30" s="1497">
        <v>1.776</v>
      </c>
      <c r="W30" s="2354"/>
    </row>
    <row r="31" spans="1:23" ht="58.5" customHeight="1" x14ac:dyDescent="0.25">
      <c r="A31" s="1176"/>
      <c r="B31" s="1176"/>
      <c r="C31" s="1488">
        <v>21</v>
      </c>
      <c r="D31" s="3213" t="s">
        <v>1105</v>
      </c>
      <c r="E31" s="1500" t="s">
        <v>1128</v>
      </c>
      <c r="F31" s="1490">
        <v>36.428529788999995</v>
      </c>
      <c r="G31" s="1491">
        <v>2.7065454309999999</v>
      </c>
      <c r="H31" s="1491">
        <f t="shared" si="0"/>
        <v>7.4297410482299275</v>
      </c>
      <c r="I31" s="1490">
        <v>37.028155650000002</v>
      </c>
      <c r="J31" s="1490">
        <v>2.7843493460000017</v>
      </c>
      <c r="K31" s="1491">
        <f t="shared" si="1"/>
        <v>7.5195464022524217</v>
      </c>
      <c r="L31" s="1490">
        <v>41.431895128000001</v>
      </c>
      <c r="M31" s="1490">
        <v>4.2960009280000033</v>
      </c>
      <c r="N31" s="1491">
        <v>10.368825550286576</v>
      </c>
      <c r="O31" s="1490">
        <v>41.455374306999992</v>
      </c>
      <c r="P31" s="1490">
        <v>4.324854979999996</v>
      </c>
      <c r="Q31" s="1491">
        <v>10.432555615038115</v>
      </c>
      <c r="R31" s="1490">
        <v>42.525148511999987</v>
      </c>
      <c r="S31" s="1490">
        <v>4.8976589190000039</v>
      </c>
      <c r="T31" s="1491">
        <v>11.517088335665553</v>
      </c>
      <c r="U31" s="1490">
        <v>41.565639916999999</v>
      </c>
      <c r="V31" s="1490">
        <v>4.2347285629999982</v>
      </c>
      <c r="W31" s="2353">
        <v>10.188050927294951</v>
      </c>
    </row>
    <row r="32" spans="1:23" ht="58.5" customHeight="1" x14ac:dyDescent="0.25">
      <c r="A32" s="1176"/>
      <c r="B32" s="1176"/>
      <c r="C32" s="1488">
        <v>22</v>
      </c>
      <c r="D32" s="3215"/>
      <c r="E32" s="1500" t="s">
        <v>1129</v>
      </c>
      <c r="F32" s="1490">
        <v>47.799412488999998</v>
      </c>
      <c r="G32" s="1491">
        <v>3.7238381810000023</v>
      </c>
      <c r="H32" s="1491">
        <f t="shared" si="0"/>
        <v>7.7905521994793618</v>
      </c>
      <c r="I32" s="1490">
        <v>48.928534738000003</v>
      </c>
      <c r="J32" s="1490">
        <v>3.6160212839999994</v>
      </c>
      <c r="K32" s="1491">
        <f t="shared" si="1"/>
        <v>7.3904140055754457</v>
      </c>
      <c r="L32" s="1490">
        <v>51.629048168099999</v>
      </c>
      <c r="M32" s="1490">
        <v>5.2689420270000031</v>
      </c>
      <c r="N32" s="1491">
        <v>10.20538284929204</v>
      </c>
      <c r="O32" s="1490">
        <v>53.575042271000001</v>
      </c>
      <c r="P32" s="1490">
        <v>5.7239855729999967</v>
      </c>
      <c r="Q32" s="1491">
        <v>10.684052369097936</v>
      </c>
      <c r="R32" s="1490">
        <v>55.744320769999995</v>
      </c>
      <c r="S32" s="1490">
        <v>6.1183735819999985</v>
      </c>
      <c r="T32" s="1491">
        <v>10.975779231832945</v>
      </c>
      <c r="U32" s="1490">
        <v>56.993113639999997</v>
      </c>
      <c r="V32" s="1490">
        <v>6.4495304989999971</v>
      </c>
      <c r="W32" s="2353">
        <v>11.31633295162429</v>
      </c>
    </row>
    <row r="33" spans="1:23" ht="60" customHeight="1" x14ac:dyDescent="0.25">
      <c r="A33" s="1176"/>
      <c r="B33" s="1176"/>
      <c r="C33" s="1488">
        <v>23</v>
      </c>
      <c r="D33" s="1502" t="s">
        <v>1107</v>
      </c>
      <c r="E33" s="1489" t="s">
        <v>1130</v>
      </c>
      <c r="F33" s="1490">
        <v>21.024281367407994</v>
      </c>
      <c r="G33" s="1491">
        <v>1.189712235366049</v>
      </c>
      <c r="H33" s="1491">
        <f t="shared" si="0"/>
        <v>5.6587533936372747</v>
      </c>
      <c r="I33" s="1490">
        <v>19.228833820117671</v>
      </c>
      <c r="J33" s="1490">
        <v>1.1488902604529154</v>
      </c>
      <c r="K33" s="1491">
        <f t="shared" si="1"/>
        <v>5.9748306694029392</v>
      </c>
      <c r="L33" s="1490">
        <v>19.055946590372571</v>
      </c>
      <c r="M33" s="1490">
        <v>1.1075946040149174</v>
      </c>
      <c r="N33" s="1491">
        <v>5.8123305434456629</v>
      </c>
      <c r="O33" s="1490">
        <v>20.836810615385737</v>
      </c>
      <c r="P33" s="1490">
        <v>1.1731505075285027</v>
      </c>
      <c r="Q33" s="1491">
        <v>5.6301827049397746</v>
      </c>
      <c r="R33" s="1490">
        <v>21.05426804240788</v>
      </c>
      <c r="S33" s="1490">
        <v>1.1978464534466267</v>
      </c>
      <c r="T33" s="1491">
        <v>5.6893284109136593</v>
      </c>
      <c r="U33" s="1490">
        <v>19.667983781625978</v>
      </c>
      <c r="V33" s="1490">
        <v>1.1420131750597335</v>
      </c>
      <c r="W33" s="2353">
        <v>5.8064577830627124</v>
      </c>
    </row>
    <row r="34" spans="1:23" ht="63" customHeight="1" x14ac:dyDescent="0.25">
      <c r="A34" s="1176"/>
      <c r="B34" s="1176"/>
      <c r="C34" s="1504"/>
      <c r="D34" s="1505"/>
      <c r="E34" s="1505" t="s">
        <v>133</v>
      </c>
      <c r="F34" s="1497">
        <f>+F15+F19+F23+F24+F27+F30+F31+F32+F33</f>
        <v>271.02932787946907</v>
      </c>
      <c r="G34" s="1497">
        <f>+G15+G19+G23+G24+G27+G30+G31+G32+G33</f>
        <v>21.27989587896505</v>
      </c>
      <c r="H34" s="1497"/>
      <c r="I34" s="1497">
        <f>+I15+I19+I23+I24+I27+I30+I31+I32+I33</f>
        <v>279.62239684330814</v>
      </c>
      <c r="J34" s="1497">
        <f>+J15+J19+J23+J24+J27+J30+J31+J32+J33</f>
        <v>21.572922772599579</v>
      </c>
      <c r="K34" s="1497"/>
      <c r="L34" s="1497">
        <v>291.02388410117641</v>
      </c>
      <c r="M34" s="1497">
        <v>26.042016715846199</v>
      </c>
      <c r="N34" s="1497"/>
      <c r="O34" s="1497">
        <v>300.48807124991595</v>
      </c>
      <c r="P34" s="1497">
        <v>26.649241884741667</v>
      </c>
      <c r="Q34" s="1497"/>
      <c r="R34" s="1497">
        <v>306.44872767734665</v>
      </c>
      <c r="S34" s="1497">
        <v>27.69005056</v>
      </c>
      <c r="T34" s="1497"/>
      <c r="U34" s="1497">
        <v>309.21729546584248</v>
      </c>
      <c r="V34" s="1497"/>
      <c r="W34" s="2354"/>
    </row>
    <row r="35" spans="1:23" ht="35.25" customHeight="1" thickBot="1" x14ac:dyDescent="0.3">
      <c r="A35" s="1176"/>
      <c r="B35" s="1176"/>
      <c r="C35" s="3216" t="s">
        <v>2442</v>
      </c>
      <c r="D35" s="3217"/>
      <c r="E35" s="3217"/>
      <c r="F35" s="3217"/>
      <c r="G35" s="3217"/>
      <c r="H35" s="3217"/>
      <c r="I35" s="3217"/>
      <c r="J35" s="3217"/>
      <c r="K35" s="3217"/>
      <c r="L35" s="1506"/>
      <c r="M35" s="1506"/>
      <c r="N35" s="1506"/>
      <c r="O35" s="1506"/>
      <c r="P35" s="1506"/>
      <c r="Q35" s="1506"/>
      <c r="R35" s="1506"/>
      <c r="S35" s="1506"/>
      <c r="T35" s="1506"/>
      <c r="U35" s="1506"/>
      <c r="V35" s="1506"/>
      <c r="W35" s="1507"/>
    </row>
    <row r="36" spans="1:23" ht="15.75" x14ac:dyDescent="0.25"/>
    <row r="37" spans="1:23" ht="79.5" customHeight="1" x14ac:dyDescent="0.25">
      <c r="I37" s="453"/>
      <c r="J37" s="454"/>
      <c r="L37" s="455"/>
      <c r="M37" s="456"/>
      <c r="P37" s="457"/>
    </row>
    <row r="38" spans="1:23" ht="79.5" customHeight="1" x14ac:dyDescent="0.25">
      <c r="F38" s="458"/>
      <c r="G38" s="452"/>
      <c r="I38" s="3218"/>
      <c r="J38" s="3218"/>
      <c r="K38" s="3218"/>
      <c r="L38" s="3218"/>
      <c r="M38" s="3218"/>
      <c r="N38" s="3218"/>
      <c r="O38" s="3218"/>
      <c r="P38" s="3218"/>
      <c r="Q38" s="3218"/>
      <c r="R38" s="3218"/>
      <c r="S38" s="3218"/>
    </row>
    <row r="64" ht="1.5" customHeight="1" x14ac:dyDescent="0.25"/>
  </sheetData>
  <mergeCells count="31">
    <mergeCell ref="C1:W1"/>
    <mergeCell ref="C2:W2"/>
    <mergeCell ref="C3:C5"/>
    <mergeCell ref="D3:D5"/>
    <mergeCell ref="E3:E5"/>
    <mergeCell ref="F3:H3"/>
    <mergeCell ref="I3:K3"/>
    <mergeCell ref="L3:N3"/>
    <mergeCell ref="O3:Q3"/>
    <mergeCell ref="R3:T3"/>
    <mergeCell ref="D20:D23"/>
    <mergeCell ref="U3:W3"/>
    <mergeCell ref="F4:F5"/>
    <mergeCell ref="G4:H4"/>
    <mergeCell ref="I4:I5"/>
    <mergeCell ref="J4:K4"/>
    <mergeCell ref="L4:L5"/>
    <mergeCell ref="M4:N4"/>
    <mergeCell ref="O4:O5"/>
    <mergeCell ref="P4:Q4"/>
    <mergeCell ref="R4:R5"/>
    <mergeCell ref="S4:T4"/>
    <mergeCell ref="U4:U5"/>
    <mergeCell ref="V4:W4"/>
    <mergeCell ref="D6:D15"/>
    <mergeCell ref="D16:D19"/>
    <mergeCell ref="D25:D27"/>
    <mergeCell ref="D28:D30"/>
    <mergeCell ref="D31:D32"/>
    <mergeCell ref="C35:K35"/>
    <mergeCell ref="I38:S38"/>
  </mergeCells>
  <hyperlinks>
    <hyperlink ref="A1" location="CONTENTS!A1" display="Home" xr:uid="{C1FA989C-CE0A-4062-9638-86DCC789E54D}"/>
  </hyperlinks>
  <pageMargins left="0.70866141732283472" right="0.70866141732283472" top="0.74803149606299213" bottom="0.74803149606299213" header="0.31496062992125984" footer="0.31496062992125984"/>
  <pageSetup paperSize="9" scale="37"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3E7416-86E4-4E06-9EC9-61BC799D887F}">
  <sheetPr>
    <tabColor theme="0"/>
    <pageSetUpPr fitToPage="1"/>
  </sheetPr>
  <dimension ref="A2:L64"/>
  <sheetViews>
    <sheetView view="pageLayout" topLeftCell="B11" zoomScale="80" zoomScaleNormal="100" zoomScalePageLayoutView="80" workbookViewId="0">
      <selection activeCell="B81" sqref="B81"/>
    </sheetView>
  </sheetViews>
  <sheetFormatPr defaultColWidth="32" defaultRowHeight="42" customHeight="1" x14ac:dyDescent="0.25"/>
  <cols>
    <col min="1" max="1" width="8.28515625" style="390" hidden="1" customWidth="1"/>
    <col min="2" max="2" width="17.140625" style="390" customWidth="1"/>
    <col min="3" max="3" width="26.28515625" style="416" customWidth="1"/>
    <col min="4" max="5" width="16.85546875" style="390" hidden="1" customWidth="1"/>
    <col min="6" max="7" width="16.85546875" style="390" customWidth="1"/>
    <col min="8" max="8" width="13.85546875" style="390" customWidth="1"/>
    <col min="9" max="10" width="12.28515625" style="390" customWidth="1"/>
    <col min="11" max="11" width="9.140625" style="390" customWidth="1"/>
    <col min="12" max="12" width="12.28515625" style="390" hidden="1" customWidth="1"/>
    <col min="13" max="13" width="9" style="390" customWidth="1"/>
    <col min="14" max="16384" width="32" style="390"/>
  </cols>
  <sheetData>
    <row r="2" spans="1:12" ht="27.75" customHeight="1" x14ac:dyDescent="0.25">
      <c r="A2" s="444" t="s">
        <v>296</v>
      </c>
      <c r="B2" s="3247" t="s">
        <v>1131</v>
      </c>
      <c r="C2" s="3247"/>
      <c r="D2" s="3247"/>
      <c r="E2" s="3247"/>
      <c r="F2" s="3247"/>
      <c r="G2" s="3247"/>
      <c r="H2" s="3247"/>
      <c r="I2" s="3247"/>
      <c r="J2" s="3247"/>
      <c r="K2" s="3247"/>
      <c r="L2" s="3247"/>
    </row>
    <row r="3" spans="1:12" ht="15.75" customHeight="1" x14ac:dyDescent="0.25">
      <c r="B3" s="3248" t="s">
        <v>1132</v>
      </c>
      <c r="C3" s="3249"/>
      <c r="D3" s="3249"/>
      <c r="E3" s="3249"/>
      <c r="F3" s="3249"/>
      <c r="G3" s="3249"/>
      <c r="H3" s="3249"/>
      <c r="I3" s="3249"/>
      <c r="J3" s="3249"/>
      <c r="K3" s="3249"/>
      <c r="L3" s="3250"/>
    </row>
    <row r="4" spans="1:12" ht="47.25" customHeight="1" x14ac:dyDescent="0.25">
      <c r="B4" s="912" t="s">
        <v>321</v>
      </c>
      <c r="C4" s="459" t="s">
        <v>1111</v>
      </c>
      <c r="D4" s="74" t="s">
        <v>7</v>
      </c>
      <c r="E4" s="74" t="s">
        <v>8</v>
      </c>
      <c r="F4" s="445" t="s">
        <v>9</v>
      </c>
      <c r="G4" s="445" t="s">
        <v>10</v>
      </c>
      <c r="H4" s="445" t="s">
        <v>11</v>
      </c>
      <c r="I4" s="445" t="s">
        <v>382</v>
      </c>
      <c r="J4" s="445" t="s">
        <v>2384</v>
      </c>
      <c r="K4" s="38" t="s">
        <v>2479</v>
      </c>
      <c r="L4" s="913" t="s">
        <v>1133</v>
      </c>
    </row>
    <row r="5" spans="1:12" ht="24.95" customHeight="1" x14ac:dyDescent="0.25">
      <c r="B5" s="3251" t="s">
        <v>1112</v>
      </c>
      <c r="C5" s="449" t="s">
        <v>1003</v>
      </c>
      <c r="D5" s="450">
        <v>77.918999999999997</v>
      </c>
      <c r="E5" s="450">
        <v>75.91</v>
      </c>
      <c r="F5" s="450">
        <v>78.099999999999994</v>
      </c>
      <c r="G5" s="450">
        <v>76.790000000000006</v>
      </c>
      <c r="H5" s="450">
        <v>71.914890587159505</v>
      </c>
      <c r="I5" s="450">
        <v>71.599999999999994</v>
      </c>
      <c r="J5" s="871">
        <v>68.2</v>
      </c>
      <c r="K5" s="1733">
        <v>69.2</v>
      </c>
      <c r="L5" s="914">
        <v>71.599999999999994</v>
      </c>
    </row>
    <row r="6" spans="1:12" ht="24.95" customHeight="1" x14ac:dyDescent="0.25">
      <c r="B6" s="3252"/>
      <c r="C6" s="449" t="s">
        <v>1004</v>
      </c>
      <c r="D6" s="450">
        <v>75.253799999999998</v>
      </c>
      <c r="E6" s="450">
        <v>77.42</v>
      </c>
      <c r="F6" s="450">
        <v>82.6</v>
      </c>
      <c r="G6" s="450">
        <v>79.459999999999994</v>
      </c>
      <c r="H6" s="450">
        <v>71.137485195761514</v>
      </c>
      <c r="I6" s="450">
        <v>73.7</v>
      </c>
      <c r="J6" s="871">
        <v>72.099999999999994</v>
      </c>
      <c r="K6" s="1733">
        <v>76.099999999999994</v>
      </c>
      <c r="L6" s="914">
        <v>73.7</v>
      </c>
    </row>
    <row r="7" spans="1:12" ht="24.95" customHeight="1" x14ac:dyDescent="0.25">
      <c r="B7" s="3252"/>
      <c r="C7" s="449" t="s">
        <v>1005</v>
      </c>
      <c r="D7" s="450">
        <v>76.600300000000004</v>
      </c>
      <c r="E7" s="450">
        <v>88.34</v>
      </c>
      <c r="F7" s="450">
        <v>89.3</v>
      </c>
      <c r="G7" s="450">
        <v>86.93</v>
      </c>
      <c r="H7" s="450">
        <v>76.680132232391955</v>
      </c>
      <c r="I7" s="450">
        <v>71.099999999999994</v>
      </c>
      <c r="J7" s="871">
        <v>68.5</v>
      </c>
      <c r="K7" s="1733">
        <v>66.5</v>
      </c>
      <c r="L7" s="914">
        <v>71.099999999999994</v>
      </c>
    </row>
    <row r="8" spans="1:12" ht="24.95" customHeight="1" x14ac:dyDescent="0.25">
      <c r="B8" s="3252"/>
      <c r="C8" s="449" t="s">
        <v>1006</v>
      </c>
      <c r="D8" s="450">
        <v>63.947600000000001</v>
      </c>
      <c r="E8" s="450">
        <v>65.83</v>
      </c>
      <c r="F8" s="450">
        <v>63.1</v>
      </c>
      <c r="G8" s="450">
        <v>62.67</v>
      </c>
      <c r="H8" s="450">
        <v>60.653457124014921</v>
      </c>
      <c r="I8" s="450">
        <v>61.5</v>
      </c>
      <c r="J8" s="871">
        <v>63.3</v>
      </c>
      <c r="K8" s="1733">
        <v>57.9</v>
      </c>
      <c r="L8" s="914">
        <v>61.5</v>
      </c>
    </row>
    <row r="9" spans="1:12" ht="24.95" customHeight="1" x14ac:dyDescent="0.25">
      <c r="B9" s="3252"/>
      <c r="C9" s="449" t="s">
        <v>1007</v>
      </c>
      <c r="D9" s="450">
        <v>64.149699999999996</v>
      </c>
      <c r="E9" s="450">
        <v>64.510000000000005</v>
      </c>
      <c r="F9" s="450">
        <v>68</v>
      </c>
      <c r="G9" s="450">
        <v>63.62</v>
      </c>
      <c r="H9" s="450">
        <v>60.617713161034175</v>
      </c>
      <c r="I9" s="450">
        <v>62.8</v>
      </c>
      <c r="J9" s="871">
        <v>60.8</v>
      </c>
      <c r="K9" s="1733">
        <v>58.1</v>
      </c>
      <c r="L9" s="914">
        <v>62.8</v>
      </c>
    </row>
    <row r="10" spans="1:12" ht="24.95" customHeight="1" x14ac:dyDescent="0.25">
      <c r="B10" s="3252"/>
      <c r="C10" s="449" t="s">
        <v>1008</v>
      </c>
      <c r="D10" s="450">
        <v>112.32040000000001</v>
      </c>
      <c r="E10" s="450">
        <v>121.16</v>
      </c>
      <c r="F10" s="450">
        <v>123.7</v>
      </c>
      <c r="G10" s="450">
        <v>121.36</v>
      </c>
      <c r="H10" s="450">
        <v>104.99795450265626</v>
      </c>
      <c r="I10" s="450">
        <v>103.6</v>
      </c>
      <c r="J10" s="871">
        <v>102.3</v>
      </c>
      <c r="K10" s="1733">
        <v>84.2</v>
      </c>
      <c r="L10" s="914">
        <v>103.6</v>
      </c>
    </row>
    <row r="11" spans="1:12" ht="24.95" customHeight="1" x14ac:dyDescent="0.25">
      <c r="B11" s="3252"/>
      <c r="C11" s="449" t="s">
        <v>1009</v>
      </c>
      <c r="D11" s="450">
        <v>101.8395</v>
      </c>
      <c r="E11" s="450">
        <v>101.66</v>
      </c>
      <c r="F11" s="450">
        <v>98.1</v>
      </c>
      <c r="G11" s="450">
        <v>88.38</v>
      </c>
      <c r="H11" s="450">
        <v>97.315114678749012</v>
      </c>
      <c r="I11" s="450">
        <v>91.5</v>
      </c>
      <c r="J11" s="871">
        <v>89.9</v>
      </c>
      <c r="K11" s="1733">
        <v>97.1</v>
      </c>
      <c r="L11" s="914">
        <v>91.5</v>
      </c>
    </row>
    <row r="12" spans="1:12" ht="24.95" customHeight="1" x14ac:dyDescent="0.25">
      <c r="B12" s="3252"/>
      <c r="C12" s="449" t="s">
        <v>1010</v>
      </c>
      <c r="D12" s="450">
        <v>88.589100000000002</v>
      </c>
      <c r="E12" s="450">
        <v>96.75</v>
      </c>
      <c r="F12" s="450">
        <v>108.5</v>
      </c>
      <c r="G12" s="450">
        <v>111.11</v>
      </c>
      <c r="H12" s="450">
        <v>107.15337846506418</v>
      </c>
      <c r="I12" s="450">
        <v>99.6</v>
      </c>
      <c r="J12" s="871">
        <v>97.9</v>
      </c>
      <c r="K12" s="1733">
        <v>89.2</v>
      </c>
      <c r="L12" s="914">
        <v>99.6</v>
      </c>
    </row>
    <row r="13" spans="1:12" ht="24.95" customHeight="1" x14ac:dyDescent="0.25">
      <c r="B13" s="3253"/>
      <c r="C13" s="449" t="s">
        <v>1011</v>
      </c>
      <c r="D13" s="450">
        <v>66.849400000000003</v>
      </c>
      <c r="E13" s="450">
        <v>64.09</v>
      </c>
      <c r="F13" s="450">
        <v>68.97793821251274</v>
      </c>
      <c r="G13" s="450">
        <v>68.349999999999994</v>
      </c>
      <c r="H13" s="450">
        <v>61.800814795208076</v>
      </c>
      <c r="I13" s="450">
        <v>63.3</v>
      </c>
      <c r="J13" s="871">
        <v>68.5</v>
      </c>
      <c r="K13" s="1733">
        <v>61</v>
      </c>
      <c r="L13" s="914">
        <v>63.3</v>
      </c>
    </row>
    <row r="14" spans="1:12" ht="24.95" customHeight="1" x14ac:dyDescent="0.25">
      <c r="B14" s="3251" t="s">
        <v>1100</v>
      </c>
      <c r="C14" s="449" t="s">
        <v>1019</v>
      </c>
      <c r="D14" s="450">
        <v>83.044300000000007</v>
      </c>
      <c r="E14" s="450">
        <v>81.53</v>
      </c>
      <c r="F14" s="450">
        <v>86.7</v>
      </c>
      <c r="G14" s="450">
        <v>82.75</v>
      </c>
      <c r="H14" s="450">
        <v>75.159166368821772</v>
      </c>
      <c r="I14" s="450">
        <v>72.2</v>
      </c>
      <c r="J14" s="871">
        <v>72</v>
      </c>
      <c r="K14" s="1733">
        <v>69.8</v>
      </c>
      <c r="L14" s="914">
        <v>72.2</v>
      </c>
    </row>
    <row r="15" spans="1:12" ht="26.25" customHeight="1" x14ac:dyDescent="0.25">
      <c r="B15" s="3254"/>
      <c r="C15" s="449" t="s">
        <v>1020</v>
      </c>
      <c r="D15" s="450">
        <v>118.09</v>
      </c>
      <c r="E15" s="451" t="s">
        <v>18</v>
      </c>
      <c r="F15" s="450" t="s">
        <v>18</v>
      </c>
      <c r="G15" s="450" t="s">
        <v>18</v>
      </c>
      <c r="H15" s="450"/>
      <c r="I15" s="450"/>
      <c r="J15" s="871"/>
      <c r="K15" s="1733"/>
      <c r="L15" s="914"/>
    </row>
    <row r="16" spans="1:12" ht="24.95" customHeight="1" x14ac:dyDescent="0.25">
      <c r="B16" s="3255" t="s">
        <v>1099</v>
      </c>
      <c r="C16" s="449" t="s">
        <v>1113</v>
      </c>
      <c r="D16" s="450">
        <v>82.836100000000002</v>
      </c>
      <c r="E16" s="450">
        <v>84.78</v>
      </c>
      <c r="F16" s="450">
        <v>98.2</v>
      </c>
      <c r="G16" s="450">
        <v>105.76</v>
      </c>
      <c r="H16" s="450">
        <v>75.883892955128189</v>
      </c>
      <c r="I16" s="450">
        <v>75</v>
      </c>
      <c r="J16" s="871">
        <v>73.599999999999994</v>
      </c>
      <c r="K16" s="1733">
        <v>74.400000000000006</v>
      </c>
      <c r="L16" s="914">
        <v>75</v>
      </c>
    </row>
    <row r="17" spans="2:12" ht="24.95" customHeight="1" x14ac:dyDescent="0.25">
      <c r="B17" s="3255"/>
      <c r="C17" s="449" t="s">
        <v>1134</v>
      </c>
      <c r="D17" s="450">
        <v>77.308000000000007</v>
      </c>
      <c r="E17" s="450">
        <v>84.44</v>
      </c>
      <c r="F17" s="450">
        <v>81.2</v>
      </c>
      <c r="G17" s="450">
        <v>85.29</v>
      </c>
      <c r="H17" s="450">
        <v>80.275116526220685</v>
      </c>
      <c r="I17" s="450">
        <v>80.5</v>
      </c>
      <c r="J17" s="871">
        <v>74.3</v>
      </c>
      <c r="K17" s="1733">
        <v>75.599999999999994</v>
      </c>
      <c r="L17" s="914">
        <v>80.5</v>
      </c>
    </row>
    <row r="18" spans="2:12" ht="24.95" customHeight="1" x14ac:dyDescent="0.25">
      <c r="B18" s="3256" t="s">
        <v>1098</v>
      </c>
      <c r="C18" s="449" t="s">
        <v>1113</v>
      </c>
      <c r="D18" s="450">
        <v>64.675600000000003</v>
      </c>
      <c r="E18" s="450">
        <v>62.96</v>
      </c>
      <c r="F18" s="450">
        <v>64.400000000000006</v>
      </c>
      <c r="G18" s="450">
        <v>64.069999999999993</v>
      </c>
      <c r="H18" s="450">
        <v>63.731854447914046</v>
      </c>
      <c r="I18" s="450">
        <v>60.9</v>
      </c>
      <c r="J18" s="871">
        <v>60.9</v>
      </c>
      <c r="K18" s="1733">
        <v>60.9</v>
      </c>
      <c r="L18" s="914">
        <v>60.9</v>
      </c>
    </row>
    <row r="19" spans="2:12" ht="24.95" customHeight="1" x14ac:dyDescent="0.25">
      <c r="B19" s="3257"/>
      <c r="C19" s="449" t="s">
        <v>882</v>
      </c>
      <c r="D19" s="450">
        <v>71.573700000000002</v>
      </c>
      <c r="E19" s="450">
        <v>68.239999999999995</v>
      </c>
      <c r="F19" s="450">
        <v>71.7</v>
      </c>
      <c r="G19" s="450">
        <v>67.06</v>
      </c>
      <c r="H19" s="450">
        <v>65.748403521987711</v>
      </c>
      <c r="I19" s="450">
        <v>62.7</v>
      </c>
      <c r="J19" s="871">
        <v>64.8</v>
      </c>
      <c r="K19" s="1733" t="s">
        <v>2738</v>
      </c>
      <c r="L19" s="914">
        <v>62.7</v>
      </c>
    </row>
    <row r="20" spans="2:12" ht="24.95" customHeight="1" x14ac:dyDescent="0.25">
      <c r="B20" s="3258"/>
      <c r="C20" s="449" t="s">
        <v>1114</v>
      </c>
      <c r="D20" s="450"/>
      <c r="E20" s="450"/>
      <c r="F20" s="450"/>
      <c r="G20" s="450">
        <v>69.849999999999994</v>
      </c>
      <c r="H20" s="450">
        <v>67.177221025717955</v>
      </c>
      <c r="I20" s="450">
        <v>66</v>
      </c>
      <c r="J20" s="871">
        <v>63.3</v>
      </c>
      <c r="K20" s="1733">
        <v>63.2</v>
      </c>
      <c r="L20" s="914">
        <v>66</v>
      </c>
    </row>
    <row r="21" spans="2:12" ht="24.95" customHeight="1" x14ac:dyDescent="0.25">
      <c r="B21" s="915" t="s">
        <v>1115</v>
      </c>
      <c r="C21" s="449" t="s">
        <v>1022</v>
      </c>
      <c r="D21" s="450">
        <v>65.875699999999995</v>
      </c>
      <c r="E21" s="450">
        <v>64.75</v>
      </c>
      <c r="F21" s="450">
        <v>64.371547640107352</v>
      </c>
      <c r="G21" s="450">
        <v>63.49</v>
      </c>
      <c r="H21" s="450">
        <v>61.667029507704321</v>
      </c>
      <c r="I21" s="450">
        <v>61.6</v>
      </c>
      <c r="J21" s="871">
        <v>61.5</v>
      </c>
      <c r="K21" s="1733">
        <v>60.6</v>
      </c>
      <c r="L21" s="914">
        <v>61.6</v>
      </c>
    </row>
    <row r="22" spans="2:12" ht="24.95" customHeight="1" x14ac:dyDescent="0.25">
      <c r="B22" s="915" t="s">
        <v>1101</v>
      </c>
      <c r="C22" s="449" t="s">
        <v>1116</v>
      </c>
      <c r="D22" s="450">
        <v>74.205600000000004</v>
      </c>
      <c r="E22" s="450">
        <v>75.33</v>
      </c>
      <c r="F22" s="450">
        <v>81.413412192672951</v>
      </c>
      <c r="G22" s="450">
        <v>73.52</v>
      </c>
      <c r="H22" s="450">
        <v>71.576178589623851</v>
      </c>
      <c r="I22" s="450">
        <v>72.900000000000006</v>
      </c>
      <c r="J22" s="871">
        <v>70.7</v>
      </c>
      <c r="K22" s="1733">
        <v>71.099999999999994</v>
      </c>
      <c r="L22" s="914">
        <v>72.900000000000006</v>
      </c>
    </row>
    <row r="23" spans="2:12" ht="31.5" customHeight="1" x14ac:dyDescent="0.25">
      <c r="B23" s="912" t="s">
        <v>1135</v>
      </c>
      <c r="C23" s="74"/>
      <c r="D23" s="74">
        <v>72.66</v>
      </c>
      <c r="E23" s="460">
        <v>72.760000000000005</v>
      </c>
      <c r="F23" s="460">
        <v>76.599999999999994</v>
      </c>
      <c r="G23" s="460">
        <v>73.650000000000006</v>
      </c>
      <c r="H23" s="460">
        <v>69.8</v>
      </c>
      <c r="I23" s="460">
        <v>69</v>
      </c>
      <c r="J23" s="872">
        <v>68.400000000000006</v>
      </c>
      <c r="K23" s="1626">
        <v>61.1</v>
      </c>
      <c r="L23" s="916">
        <v>69</v>
      </c>
    </row>
    <row r="24" spans="2:12" ht="15.75" hidden="1" x14ac:dyDescent="0.25">
      <c r="B24" s="510" t="s">
        <v>240</v>
      </c>
      <c r="L24" s="399"/>
    </row>
    <row r="25" spans="2:12" ht="15.75" hidden="1" x14ac:dyDescent="0.25">
      <c r="B25" s="510" t="s">
        <v>1136</v>
      </c>
      <c r="L25" s="399"/>
    </row>
    <row r="26" spans="2:12" ht="29.45" customHeight="1" x14ac:dyDescent="0.25">
      <c r="B26" s="3241" t="s">
        <v>1137</v>
      </c>
      <c r="C26" s="3242"/>
      <c r="D26" s="3242"/>
      <c r="E26" s="3242"/>
      <c r="F26" s="3242"/>
      <c r="G26" s="3242"/>
      <c r="H26" s="3242"/>
      <c r="I26" s="3242"/>
      <c r="J26" s="3242"/>
      <c r="K26" s="3242"/>
      <c r="L26" s="3243"/>
    </row>
    <row r="27" spans="2:12" ht="23.25" customHeight="1" x14ac:dyDescent="0.25">
      <c r="B27" s="3244" t="s">
        <v>1138</v>
      </c>
      <c r="C27" s="3245"/>
      <c r="D27" s="3245"/>
      <c r="E27" s="3245"/>
      <c r="F27" s="3245"/>
      <c r="G27" s="3245"/>
      <c r="H27" s="3245"/>
      <c r="I27" s="3245"/>
      <c r="J27" s="3245"/>
      <c r="K27" s="3245"/>
      <c r="L27" s="3246"/>
    </row>
    <row r="64" ht="1.5" customHeight="1" x14ac:dyDescent="0.25"/>
  </sheetData>
  <mergeCells count="8">
    <mergeCell ref="B26:L26"/>
    <mergeCell ref="B27:L27"/>
    <mergeCell ref="B2:L2"/>
    <mergeCell ref="B3:L3"/>
    <mergeCell ref="B5:B13"/>
    <mergeCell ref="B14:B15"/>
    <mergeCell ref="B16:B17"/>
    <mergeCell ref="B18:B20"/>
  </mergeCells>
  <hyperlinks>
    <hyperlink ref="A2" location="CONTENTS!A1" display="Home" xr:uid="{7DB02A90-DB00-401F-9332-06F841F73A40}"/>
  </hyperlinks>
  <pageMargins left="0.70866141732283472" right="0.70866141732283472" top="0.74803149606299213" bottom="0.74803149606299213" header="0.31496062992125984" footer="0.31496062992125984"/>
  <pageSetup paperSize="9" scale="70"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D9B8E2B-432C-4D70-940C-E80214023214}">
  <sheetPr>
    <tabColor theme="0"/>
    <pageSetUpPr fitToPage="1"/>
  </sheetPr>
  <dimension ref="A1:AA63"/>
  <sheetViews>
    <sheetView view="pageLayout" topLeftCell="B21" zoomScale="60" zoomScaleNormal="70" zoomScaleSheetLayoutView="70" zoomScalePageLayoutView="60" workbookViewId="0">
      <selection activeCell="Y28" sqref="B27:AA46"/>
    </sheetView>
  </sheetViews>
  <sheetFormatPr defaultColWidth="9.5703125" defaultRowHeight="15.75" x14ac:dyDescent="0.25"/>
  <cols>
    <col min="1" max="1" width="17.140625" style="390" hidden="1" customWidth="1"/>
    <col min="2" max="2" width="27.140625" style="416" bestFit="1" customWidth="1"/>
    <col min="3" max="3" width="37.5703125" style="390" customWidth="1"/>
    <col min="4" max="4" width="12.5703125" style="390" hidden="1" customWidth="1"/>
    <col min="5" max="5" width="7.7109375" style="390" hidden="1" customWidth="1"/>
    <col min="6" max="6" width="0.7109375" style="390" hidden="1" customWidth="1"/>
    <col min="7" max="7" width="12.5703125" style="390" hidden="1" customWidth="1"/>
    <col min="8" max="8" width="7.7109375" style="390" hidden="1" customWidth="1"/>
    <col min="9" max="9" width="12" style="390" hidden="1" customWidth="1"/>
    <col min="10" max="10" width="12.7109375" style="390" bestFit="1" customWidth="1"/>
    <col min="11" max="11" width="7.7109375" style="390" bestFit="1" customWidth="1"/>
    <col min="12" max="12" width="12" style="390" bestFit="1" customWidth="1"/>
    <col min="13" max="13" width="12.5703125" style="390" bestFit="1" customWidth="1"/>
    <col min="14" max="14" width="7.7109375" style="390" bestFit="1" customWidth="1"/>
    <col min="15" max="15" width="12" style="390" bestFit="1" customWidth="1"/>
    <col min="16" max="16" width="12.5703125" style="390" bestFit="1" customWidth="1"/>
    <col min="17" max="17" width="7.7109375" style="390" bestFit="1" customWidth="1"/>
    <col min="18" max="18" width="13.5703125" style="390" bestFit="1" customWidth="1"/>
    <col min="19" max="19" width="12.5703125" style="390" bestFit="1" customWidth="1"/>
    <col min="20" max="20" width="7.7109375" style="390" bestFit="1" customWidth="1"/>
    <col min="21" max="21" width="13.5703125" style="390" bestFit="1" customWidth="1"/>
    <col min="22" max="24" width="13.5703125" style="390" customWidth="1"/>
    <col min="25" max="25" width="12.5703125" style="390" bestFit="1" customWidth="1"/>
    <col min="26" max="26" width="10" style="390" customWidth="1"/>
    <col min="27" max="27" width="13.5703125" style="390" bestFit="1" customWidth="1"/>
    <col min="28" max="16384" width="9.5703125" style="390"/>
  </cols>
  <sheetData>
    <row r="1" spans="2:27" ht="16.5" thickBot="1" x14ac:dyDescent="0.3">
      <c r="G1" s="461"/>
    </row>
    <row r="2" spans="2:27" ht="42" customHeight="1" x14ac:dyDescent="0.25">
      <c r="B2" s="3273" t="s">
        <v>1139</v>
      </c>
      <c r="C2" s="3274"/>
      <c r="D2" s="3274"/>
      <c r="E2" s="3274"/>
      <c r="F2" s="3274"/>
      <c r="G2" s="3274"/>
      <c r="H2" s="3274"/>
      <c r="I2" s="3274"/>
      <c r="J2" s="3274"/>
      <c r="K2" s="3274"/>
      <c r="L2" s="3274"/>
      <c r="M2" s="3274"/>
      <c r="N2" s="3274"/>
      <c r="O2" s="3274"/>
      <c r="P2" s="3274"/>
      <c r="Q2" s="3274"/>
      <c r="R2" s="3274"/>
      <c r="S2" s="3274"/>
      <c r="T2" s="3274"/>
      <c r="U2" s="3274"/>
      <c r="V2" s="3274"/>
      <c r="W2" s="3274"/>
      <c r="X2" s="3274"/>
      <c r="Y2" s="3274"/>
      <c r="Z2" s="3274"/>
      <c r="AA2" s="3275"/>
    </row>
    <row r="3" spans="2:27" ht="21" customHeight="1" x14ac:dyDescent="0.25">
      <c r="B3" s="3276"/>
      <c r="C3" s="3277"/>
      <c r="D3" s="3277"/>
      <c r="E3" s="3277"/>
      <c r="F3" s="3277"/>
      <c r="G3" s="3277"/>
      <c r="H3" s="3277"/>
      <c r="I3" s="3277"/>
      <c r="J3" s="3277"/>
      <c r="K3" s="3277"/>
      <c r="L3" s="3277"/>
      <c r="M3" s="3277"/>
      <c r="N3" s="3277"/>
      <c r="O3" s="3277"/>
      <c r="P3" s="3277"/>
      <c r="Q3" s="3277"/>
      <c r="R3" s="3277"/>
      <c r="S3" s="3277"/>
      <c r="T3" s="3277"/>
      <c r="U3" s="3277"/>
      <c r="V3" s="3277"/>
      <c r="W3" s="3277"/>
      <c r="X3" s="3277"/>
      <c r="Y3" s="3277"/>
      <c r="Z3" s="3277"/>
      <c r="AA3" s="3278"/>
    </row>
    <row r="4" spans="2:27" ht="42" hidden="1" customHeight="1" x14ac:dyDescent="0.25">
      <c r="B4" s="3279"/>
      <c r="C4" s="3280"/>
      <c r="D4" s="3280"/>
      <c r="E4" s="3280"/>
      <c r="F4" s="3280"/>
      <c r="G4" s="3280"/>
      <c r="H4" s="3280"/>
      <c r="I4" s="3280"/>
      <c r="J4" s="3280"/>
      <c r="K4" s="3280"/>
      <c r="L4" s="3280"/>
      <c r="M4" s="3280"/>
      <c r="N4" s="3280"/>
      <c r="O4" s="3280"/>
      <c r="P4" s="3280"/>
      <c r="Q4" s="3280"/>
      <c r="R4" s="3280"/>
      <c r="S4" s="3280"/>
      <c r="T4" s="3280"/>
      <c r="U4" s="3280"/>
      <c r="V4" s="3280"/>
      <c r="W4" s="3280"/>
      <c r="X4" s="3280"/>
      <c r="Y4" s="3280"/>
      <c r="Z4" s="3280"/>
      <c r="AA4" s="3281"/>
    </row>
    <row r="5" spans="2:27" ht="42" customHeight="1" x14ac:dyDescent="0.25">
      <c r="B5" s="3282" t="s">
        <v>1140</v>
      </c>
      <c r="C5" s="3264" t="s">
        <v>1141</v>
      </c>
      <c r="D5" s="3264" t="s">
        <v>7</v>
      </c>
      <c r="E5" s="3264"/>
      <c r="F5" s="3264"/>
      <c r="G5" s="3264" t="s">
        <v>8</v>
      </c>
      <c r="H5" s="3264"/>
      <c r="I5" s="3264"/>
      <c r="J5" s="3264" t="s">
        <v>9</v>
      </c>
      <c r="K5" s="3264"/>
      <c r="L5" s="3264"/>
      <c r="M5" s="3264" t="s">
        <v>77</v>
      </c>
      <c r="N5" s="3264"/>
      <c r="O5" s="3264"/>
      <c r="P5" s="3264" t="s">
        <v>11</v>
      </c>
      <c r="Q5" s="3264"/>
      <c r="R5" s="3264"/>
      <c r="S5" s="3264" t="s">
        <v>382</v>
      </c>
      <c r="T5" s="3264"/>
      <c r="U5" s="3264"/>
      <c r="V5" s="3264" t="s">
        <v>2309</v>
      </c>
      <c r="W5" s="3264"/>
      <c r="X5" s="3265"/>
      <c r="Y5" s="3264" t="s">
        <v>2479</v>
      </c>
      <c r="Z5" s="3264"/>
      <c r="AA5" s="3265"/>
    </row>
    <row r="6" spans="2:27" ht="42" customHeight="1" x14ac:dyDescent="0.25">
      <c r="B6" s="3282"/>
      <c r="C6" s="3264"/>
      <c r="D6" s="1156" t="s">
        <v>1142</v>
      </c>
      <c r="E6" s="3264" t="s">
        <v>303</v>
      </c>
      <c r="F6" s="3264"/>
      <c r="G6" s="1156" t="s">
        <v>1142</v>
      </c>
      <c r="H6" s="3264" t="s">
        <v>303</v>
      </c>
      <c r="I6" s="3264"/>
      <c r="J6" s="1156" t="s">
        <v>1142</v>
      </c>
      <c r="K6" s="3264" t="s">
        <v>303</v>
      </c>
      <c r="L6" s="3264"/>
      <c r="M6" s="1156" t="s">
        <v>1142</v>
      </c>
      <c r="N6" s="3264" t="s">
        <v>303</v>
      </c>
      <c r="O6" s="3264"/>
      <c r="P6" s="1156" t="s">
        <v>1142</v>
      </c>
      <c r="Q6" s="3264" t="s">
        <v>303</v>
      </c>
      <c r="R6" s="3264"/>
      <c r="S6" s="1156" t="s">
        <v>1142</v>
      </c>
      <c r="T6" s="3264" t="s">
        <v>303</v>
      </c>
      <c r="U6" s="3264"/>
      <c r="V6" s="1156" t="s">
        <v>1142</v>
      </c>
      <c r="W6" s="3264" t="s">
        <v>303</v>
      </c>
      <c r="X6" s="3265"/>
      <c r="Y6" s="1156" t="s">
        <v>1142</v>
      </c>
      <c r="Z6" s="3264" t="s">
        <v>303</v>
      </c>
      <c r="AA6" s="3265"/>
    </row>
    <row r="7" spans="2:27" ht="106.5" customHeight="1" x14ac:dyDescent="0.25">
      <c r="B7" s="3282"/>
      <c r="C7" s="3264"/>
      <c r="D7" s="1157" t="s">
        <v>1143</v>
      </c>
      <c r="E7" s="1157" t="s">
        <v>1144</v>
      </c>
      <c r="F7" s="1157" t="s">
        <v>1145</v>
      </c>
      <c r="G7" s="1157" t="s">
        <v>1143</v>
      </c>
      <c r="H7" s="1157" t="s">
        <v>1144</v>
      </c>
      <c r="I7" s="1157" t="s">
        <v>1145</v>
      </c>
      <c r="J7" s="1157" t="s">
        <v>1143</v>
      </c>
      <c r="K7" s="1157" t="s">
        <v>1144</v>
      </c>
      <c r="L7" s="1157" t="s">
        <v>1145</v>
      </c>
      <c r="M7" s="1157" t="s">
        <v>1143</v>
      </c>
      <c r="N7" s="1157" t="s">
        <v>1144</v>
      </c>
      <c r="O7" s="1157" t="s">
        <v>1145</v>
      </c>
      <c r="P7" s="1157" t="s">
        <v>1143</v>
      </c>
      <c r="Q7" s="1157" t="s">
        <v>1144</v>
      </c>
      <c r="R7" s="1157" t="s">
        <v>1145</v>
      </c>
      <c r="S7" s="1157" t="s">
        <v>1143</v>
      </c>
      <c r="T7" s="1157" t="s">
        <v>1144</v>
      </c>
      <c r="U7" s="1157" t="s">
        <v>1145</v>
      </c>
      <c r="V7" s="1158" t="s">
        <v>1143</v>
      </c>
      <c r="W7" s="1158" t="s">
        <v>1144</v>
      </c>
      <c r="X7" s="1159" t="s">
        <v>1145</v>
      </c>
      <c r="Y7" s="1158" t="s">
        <v>1143</v>
      </c>
      <c r="Z7" s="1158" t="s">
        <v>1144</v>
      </c>
      <c r="AA7" s="1159" t="s">
        <v>1145</v>
      </c>
    </row>
    <row r="8" spans="2:27" ht="39.75" customHeight="1" x14ac:dyDescent="0.25">
      <c r="B8" s="3266" t="s">
        <v>1146</v>
      </c>
      <c r="C8" s="1161" t="s">
        <v>1147</v>
      </c>
      <c r="D8" s="1162">
        <v>226.49761635146425</v>
      </c>
      <c r="E8" s="1162">
        <v>111.91467188589772</v>
      </c>
      <c r="F8" s="1163">
        <v>783182.85010636866</v>
      </c>
      <c r="G8" s="1162">
        <v>226.95466551568427</v>
      </c>
      <c r="H8" s="1162">
        <v>101.37619315806717</v>
      </c>
      <c r="I8" s="1163">
        <v>717000.97515933064</v>
      </c>
      <c r="J8" s="1162">
        <v>196.46086094549042</v>
      </c>
      <c r="K8" s="1162">
        <v>62.248046946401743</v>
      </c>
      <c r="L8" s="1163">
        <v>459778.56921302358</v>
      </c>
      <c r="M8" s="1162">
        <v>212.38162243623947</v>
      </c>
      <c r="N8" s="1162">
        <v>120.67515291795253</v>
      </c>
      <c r="O8" s="1163">
        <v>901262.19197128795</v>
      </c>
      <c r="P8" s="1162">
        <v>232.70041197882603</v>
      </c>
      <c r="Q8" s="1162">
        <v>157.53102411079598</v>
      </c>
      <c r="R8" s="1163">
        <v>1260371.8243467703</v>
      </c>
      <c r="S8" s="1162">
        <v>234.26157957307791</v>
      </c>
      <c r="T8" s="1162">
        <v>133.36642965364751</v>
      </c>
      <c r="U8" s="1163">
        <v>1105175.8560986861</v>
      </c>
      <c r="V8" s="1162">
        <v>243.22497136204893</v>
      </c>
      <c r="W8" s="1162">
        <v>137.17396944211868</v>
      </c>
      <c r="X8" s="1163">
        <v>1160617.8764659725</v>
      </c>
      <c r="Y8" s="1162">
        <v>245.76867364293196</v>
      </c>
      <c r="Z8" s="1162">
        <v>123.37925672100727</v>
      </c>
      <c r="AA8" s="1163">
        <v>1092247.8563303621</v>
      </c>
    </row>
    <row r="9" spans="2:27" ht="39.75" customHeight="1" x14ac:dyDescent="0.25">
      <c r="B9" s="3266"/>
      <c r="C9" s="1164" t="s">
        <v>1148</v>
      </c>
      <c r="D9" s="1162">
        <v>142.8601444036162</v>
      </c>
      <c r="E9" s="1162">
        <v>71.918557260443748</v>
      </c>
      <c r="F9" s="1163">
        <v>504524.17902412039</v>
      </c>
      <c r="G9" s="1162">
        <v>141.41964387988619</v>
      </c>
      <c r="H9" s="1162">
        <v>64.709331283543307</v>
      </c>
      <c r="I9" s="1163">
        <v>458073.02472225024</v>
      </c>
      <c r="J9" s="1162">
        <v>121.80969720906351</v>
      </c>
      <c r="K9" s="1162">
        <v>39.664412683977311</v>
      </c>
      <c r="L9" s="1163">
        <v>292718.19486623956</v>
      </c>
      <c r="M9" s="1162">
        <v>134.71604976012259</v>
      </c>
      <c r="N9" s="1162">
        <v>77.257936867076126</v>
      </c>
      <c r="O9" s="1163">
        <v>577372.07516583859</v>
      </c>
      <c r="P9" s="1162">
        <v>153.987742763</v>
      </c>
      <c r="Q9" s="1162">
        <v>106.36060652165565</v>
      </c>
      <c r="R9" s="1163">
        <v>852591.63071320904</v>
      </c>
      <c r="S9" s="1162">
        <v>153.64521679954495</v>
      </c>
      <c r="T9" s="1162">
        <v>88.045593873404243</v>
      </c>
      <c r="U9" s="1163">
        <v>729765.16929311783</v>
      </c>
      <c r="V9" s="1162">
        <v>159.547920645</v>
      </c>
      <c r="W9" s="1162">
        <v>90.508547607122523</v>
      </c>
      <c r="X9" s="1163">
        <v>766193.83481865551</v>
      </c>
      <c r="Y9" s="1162">
        <v>161.19149499099996</v>
      </c>
      <c r="Z9" s="1162">
        <v>81.078024445166037</v>
      </c>
      <c r="AA9" s="1163">
        <v>717696.24469263724</v>
      </c>
    </row>
    <row r="10" spans="2:27" ht="39.75" customHeight="1" x14ac:dyDescent="0.25">
      <c r="B10" s="3266"/>
      <c r="C10" s="1164" t="s">
        <v>1149</v>
      </c>
      <c r="D10" s="1162">
        <v>83.637471947848013</v>
      </c>
      <c r="E10" s="1162">
        <v>39.996114625453984</v>
      </c>
      <c r="F10" s="1163">
        <v>278658.67108224839</v>
      </c>
      <c r="G10" s="1162">
        <v>85.535021635797975</v>
      </c>
      <c r="H10" s="1162">
        <v>36.66686187452386</v>
      </c>
      <c r="I10" s="1163">
        <v>258927.95043708046</v>
      </c>
      <c r="J10" s="1162">
        <v>74.651163736426994</v>
      </c>
      <c r="K10" s="1162">
        <v>22.583634262424432</v>
      </c>
      <c r="L10" s="1163">
        <v>167060.37434678414</v>
      </c>
      <c r="M10" s="1162">
        <v>77.66557267611698</v>
      </c>
      <c r="N10" s="1162">
        <v>43.417216050876419</v>
      </c>
      <c r="O10" s="1163">
        <v>323890.11680544942</v>
      </c>
      <c r="P10" s="1162">
        <v>78.712669215825997</v>
      </c>
      <c r="Q10" s="1162">
        <v>51.170417589140357</v>
      </c>
      <c r="R10" s="1163">
        <v>407780.19363356091</v>
      </c>
      <c r="S10" s="1162">
        <v>80.616362773533027</v>
      </c>
      <c r="T10" s="1162">
        <v>45.320835780243279</v>
      </c>
      <c r="U10" s="1163">
        <v>375410.68680556864</v>
      </c>
      <c r="V10" s="1162">
        <v>83.677050717048985</v>
      </c>
      <c r="W10" s="1162">
        <v>46.665421834996124</v>
      </c>
      <c r="X10" s="1163">
        <v>394424.0416473173</v>
      </c>
      <c r="Y10" s="1162">
        <v>84.577178651931987</v>
      </c>
      <c r="Z10" s="1162">
        <v>42.30123227584123</v>
      </c>
      <c r="AA10" s="1163">
        <v>374551.6116377248</v>
      </c>
    </row>
    <row r="11" spans="2:27" ht="39.75" customHeight="1" x14ac:dyDescent="0.25">
      <c r="B11" s="3266"/>
      <c r="C11" s="920" t="s">
        <v>1150</v>
      </c>
      <c r="D11" s="1165"/>
      <c r="E11" s="1165"/>
      <c r="F11" s="1076"/>
      <c r="G11" s="1165"/>
      <c r="H11" s="1165"/>
      <c r="I11" s="1076"/>
      <c r="J11" s="1165"/>
      <c r="K11" s="1165"/>
      <c r="L11" s="1076"/>
      <c r="M11" s="1165"/>
      <c r="N11" s="1165"/>
      <c r="O11" s="1076"/>
      <c r="P11" s="1165"/>
      <c r="Q11" s="1165"/>
      <c r="R11" s="1076"/>
      <c r="S11" s="1165"/>
      <c r="T11" s="1165"/>
      <c r="U11" s="1076"/>
      <c r="V11" s="1165"/>
      <c r="W11" s="1165"/>
      <c r="X11" s="1076"/>
      <c r="Y11" s="1166"/>
      <c r="Z11" s="1167"/>
      <c r="AA11" s="1167"/>
    </row>
    <row r="12" spans="2:27" ht="39.75" customHeight="1" x14ac:dyDescent="0.25">
      <c r="B12" s="3266"/>
      <c r="C12" s="1168" t="s">
        <v>112</v>
      </c>
      <c r="D12" s="1162">
        <v>13.235056104999995</v>
      </c>
      <c r="E12" s="1162">
        <v>7.1782319504224086</v>
      </c>
      <c r="F12" s="1163">
        <v>49939.042847225959</v>
      </c>
      <c r="G12" s="1162">
        <v>14.808598325999998</v>
      </c>
      <c r="H12" s="1162">
        <v>7.0699862099290796</v>
      </c>
      <c r="I12" s="1163">
        <v>50347.452795968973</v>
      </c>
      <c r="J12" s="1162">
        <v>16.475937722999994</v>
      </c>
      <c r="K12" s="1162">
        <v>7.2420044928286833</v>
      </c>
      <c r="L12" s="1163">
        <v>53752.45855229783</v>
      </c>
      <c r="M12" s="1162">
        <v>17.043353518999993</v>
      </c>
      <c r="N12" s="1162">
        <v>12.235208494811301</v>
      </c>
      <c r="O12" s="1163">
        <v>91468.397684187716</v>
      </c>
      <c r="P12" s="1162">
        <v>18.335441516000003</v>
      </c>
      <c r="Q12" s="1162">
        <v>13.343518543675509</v>
      </c>
      <c r="R12" s="1163">
        <v>107191.16804061666</v>
      </c>
      <c r="S12" s="1162">
        <v>18.514197281999994</v>
      </c>
      <c r="T12" s="1162">
        <v>10.411887729849008</v>
      </c>
      <c r="U12" s="1163">
        <v>86361.328583508206</v>
      </c>
      <c r="V12" s="1162">
        <v>20.666855390999999</v>
      </c>
      <c r="W12" s="1162">
        <v>12.479399400046233</v>
      </c>
      <c r="X12" s="1163">
        <v>105678.9639913495</v>
      </c>
      <c r="Y12" s="1162">
        <v>21.267906560000007</v>
      </c>
      <c r="Z12" s="1162">
        <v>11.255884054691903</v>
      </c>
      <c r="AA12" s="1163">
        <v>99149.032883300519</v>
      </c>
    </row>
    <row r="13" spans="2:27" ht="39.75" customHeight="1" x14ac:dyDescent="0.25">
      <c r="B13" s="3266"/>
      <c r="C13" s="1168" t="s">
        <v>1151</v>
      </c>
      <c r="D13" s="1162">
        <v>0.66979669220000004</v>
      </c>
      <c r="E13" s="1162">
        <v>0.44488044666592991</v>
      </c>
      <c r="F13" s="1163">
        <v>3103.9306337672751</v>
      </c>
      <c r="G13" s="1162">
        <v>2.1460054986999997</v>
      </c>
      <c r="H13" s="1162">
        <v>1.3568026126559178</v>
      </c>
      <c r="I13" s="1163">
        <v>9610.0366858466441</v>
      </c>
      <c r="J13" s="1162">
        <v>1.3512521180000003</v>
      </c>
      <c r="K13" s="1162">
        <v>0.67406121338081171</v>
      </c>
      <c r="L13" s="1163">
        <v>4949.6252367269944</v>
      </c>
      <c r="M13" s="1162">
        <v>0.67088256899999998</v>
      </c>
      <c r="N13" s="1162">
        <v>0.51937121491032701</v>
      </c>
      <c r="O13" s="1163">
        <v>3894.802988808085</v>
      </c>
      <c r="P13" s="1162">
        <v>1.0687007080000004</v>
      </c>
      <c r="Q13" s="1162">
        <v>1.0942442626810645</v>
      </c>
      <c r="R13" s="1163">
        <v>8846.4553842603182</v>
      </c>
      <c r="S13" s="1162">
        <v>0.71740101700000014</v>
      </c>
      <c r="T13" s="1162">
        <v>0.66259411411900004</v>
      </c>
      <c r="U13" s="1163">
        <v>5500.2192693999996</v>
      </c>
      <c r="V13" s="1162">
        <v>0.23458347900000001</v>
      </c>
      <c r="W13" s="1162">
        <v>0.18796391379999999</v>
      </c>
      <c r="X13" s="1163">
        <v>1572.963060382426</v>
      </c>
      <c r="Y13" s="1162">
        <v>1.7844000000000001E-5</v>
      </c>
      <c r="Z13" s="1162">
        <v>1.54E-4</v>
      </c>
      <c r="AA13" s="1163">
        <v>1.3760323999999997</v>
      </c>
    </row>
    <row r="14" spans="2:27" ht="39.75" customHeight="1" x14ac:dyDescent="0.25">
      <c r="B14" s="3266"/>
      <c r="C14" s="1168" t="s">
        <v>1046</v>
      </c>
      <c r="D14" s="1162">
        <v>2.0815549469999999</v>
      </c>
      <c r="E14" s="1162">
        <v>1.3905608441064028</v>
      </c>
      <c r="F14" s="1163">
        <v>9665.377199422941</v>
      </c>
      <c r="G14" s="1162">
        <v>1.661942888</v>
      </c>
      <c r="H14" s="1162">
        <v>0.94103583435732763</v>
      </c>
      <c r="I14" s="1163">
        <v>6677.7277086820004</v>
      </c>
      <c r="J14" s="1162">
        <v>1.199139078</v>
      </c>
      <c r="K14" s="1162">
        <v>0.51823223028663623</v>
      </c>
      <c r="L14" s="1163">
        <v>3844.0436261505602</v>
      </c>
      <c r="M14" s="1162">
        <v>0.23693718599999999</v>
      </c>
      <c r="N14" s="1162">
        <v>0.19939040071820568</v>
      </c>
      <c r="O14" s="1163">
        <v>1498.7954844522751</v>
      </c>
      <c r="P14" s="1162">
        <v>0.89652557200000005</v>
      </c>
      <c r="Q14" s="1162">
        <v>0.59313535014312602</v>
      </c>
      <c r="R14" s="1163">
        <v>4781.3313432045024</v>
      </c>
      <c r="S14" s="1162">
        <v>1.210777939</v>
      </c>
      <c r="T14" s="1162">
        <v>0.79981465437999988</v>
      </c>
      <c r="U14" s="1163">
        <v>6627.2287733199828</v>
      </c>
      <c r="V14" s="1162">
        <v>0.94069664600000003</v>
      </c>
      <c r="W14" s="1162">
        <v>0.63608978013264461</v>
      </c>
      <c r="X14" s="1163">
        <v>5346.7856488303896</v>
      </c>
      <c r="Y14" s="1162">
        <v>1.1379395829999999</v>
      </c>
      <c r="Z14" s="1162">
        <v>0.68046372760000007</v>
      </c>
      <c r="AA14" s="1163">
        <v>6022.5417794967098</v>
      </c>
    </row>
    <row r="15" spans="2:27" ht="30.75" customHeight="1" x14ac:dyDescent="0.25">
      <c r="B15" s="3267"/>
      <c r="C15" s="1168" t="s">
        <v>1152</v>
      </c>
      <c r="D15" s="1162">
        <v>0.25876099999999996</v>
      </c>
      <c r="E15" s="1162">
        <v>0.19998127113206476</v>
      </c>
      <c r="F15" s="1163">
        <v>1392.4628649999997</v>
      </c>
      <c r="G15" s="1162">
        <v>6.4913407000000006E-2</v>
      </c>
      <c r="H15" s="1169">
        <v>4.4667822368004602E-2</v>
      </c>
      <c r="I15" s="1163">
        <v>308.654693636177</v>
      </c>
      <c r="J15" s="1162">
        <v>2.9799999999999999E-7</v>
      </c>
      <c r="K15" s="1162">
        <v>1.1623911937510868E-6</v>
      </c>
      <c r="L15" s="1163">
        <v>8.6963000000000006E-3</v>
      </c>
      <c r="M15" s="1162">
        <v>0</v>
      </c>
      <c r="N15" s="1162">
        <v>0</v>
      </c>
      <c r="O15" s="1163">
        <v>0</v>
      </c>
      <c r="P15" s="1162">
        <v>3E-9</v>
      </c>
      <c r="Q15" s="1162">
        <v>2.0000000000000002E-7</v>
      </c>
      <c r="R15" s="1163">
        <v>1.3424999999999999E-3</v>
      </c>
      <c r="S15" s="1162">
        <v>2.3499999999999999E-6</v>
      </c>
      <c r="T15" s="1162">
        <v>3.1E-6</v>
      </c>
      <c r="U15" s="1163">
        <v>2.5903200000000001E-2</v>
      </c>
      <c r="V15" s="1162">
        <v>1.4612E-5</v>
      </c>
      <c r="W15" s="1162">
        <v>1.7999999999999997E-5</v>
      </c>
      <c r="X15" s="1163">
        <v>0.1503535</v>
      </c>
      <c r="Y15" s="1162">
        <v>2.7476399999999999E-4</v>
      </c>
      <c r="Z15" s="1162">
        <v>2.787E-4</v>
      </c>
      <c r="AA15" s="1163">
        <v>2.5812341999999999</v>
      </c>
    </row>
    <row r="16" spans="2:27" ht="39.75" customHeight="1" x14ac:dyDescent="0.25">
      <c r="B16" s="3266"/>
      <c r="C16" s="1168" t="s">
        <v>1153</v>
      </c>
      <c r="D16" s="1162">
        <v>0</v>
      </c>
      <c r="E16" s="1162">
        <v>0</v>
      </c>
      <c r="F16" s="1163">
        <v>0</v>
      </c>
      <c r="G16" s="1162">
        <v>0</v>
      </c>
      <c r="H16" s="1162">
        <v>0</v>
      </c>
      <c r="I16" s="1163">
        <v>0</v>
      </c>
      <c r="J16" s="1170">
        <v>2.7667659999999999E-3</v>
      </c>
      <c r="K16" s="1162">
        <v>1.6261062073772582E-3</v>
      </c>
      <c r="L16" s="1163">
        <v>12.137498500000001</v>
      </c>
      <c r="M16" s="1162">
        <v>0</v>
      </c>
      <c r="N16" s="1162">
        <v>0</v>
      </c>
      <c r="O16" s="1163">
        <v>0</v>
      </c>
      <c r="P16" s="1162">
        <v>0</v>
      </c>
      <c r="Q16" s="1162">
        <v>0</v>
      </c>
      <c r="R16" s="1163">
        <v>0</v>
      </c>
      <c r="S16" s="1162">
        <v>0</v>
      </c>
      <c r="T16" s="1162">
        <v>0</v>
      </c>
      <c r="U16" s="1163">
        <v>0</v>
      </c>
      <c r="V16" s="1162">
        <v>0</v>
      </c>
      <c r="W16" s="1162">
        <v>0</v>
      </c>
      <c r="X16" s="1163">
        <v>0</v>
      </c>
      <c r="Y16" s="1162">
        <v>0</v>
      </c>
      <c r="Z16" s="1162">
        <v>0</v>
      </c>
      <c r="AA16" s="1163">
        <v>0</v>
      </c>
    </row>
    <row r="17" spans="2:27" ht="39.75" customHeight="1" x14ac:dyDescent="0.25">
      <c r="B17" s="3266"/>
      <c r="C17" s="1168" t="s">
        <v>1154</v>
      </c>
      <c r="D17" s="1162">
        <v>0.55545274700000002</v>
      </c>
      <c r="E17" s="1162">
        <v>0.3604593402461177</v>
      </c>
      <c r="F17" s="1163">
        <v>2485.7659469267483</v>
      </c>
      <c r="G17" s="1162">
        <v>2.7956504867000005</v>
      </c>
      <c r="H17" s="1162">
        <v>1.6323766181578834</v>
      </c>
      <c r="I17" s="1163">
        <v>11619.04937328666</v>
      </c>
      <c r="J17" s="1162">
        <v>0.64819755799999945</v>
      </c>
      <c r="K17" s="1162">
        <v>0.26529910541286167</v>
      </c>
      <c r="L17" s="1163">
        <v>1960.042981718128</v>
      </c>
      <c r="M17" s="1169">
        <v>4.3433359999999983E-2</v>
      </c>
      <c r="N17" s="1169">
        <v>3.3859E-2</v>
      </c>
      <c r="O17" s="1163">
        <v>252.98603920000005</v>
      </c>
      <c r="P17" s="1162">
        <v>0.32239800699999999</v>
      </c>
      <c r="Q17" s="1162">
        <v>0.45360129884360678</v>
      </c>
      <c r="R17" s="1163">
        <v>3584.0414822136736</v>
      </c>
      <c r="S17" s="1169">
        <v>4.2058901000000003E-2</v>
      </c>
      <c r="T17" s="1169">
        <v>3.7609299999999998E-2</v>
      </c>
      <c r="U17" s="1163">
        <v>311.85740320000002</v>
      </c>
      <c r="V17" s="1169">
        <v>4.1947349999999994E-2</v>
      </c>
      <c r="W17" s="1169">
        <v>3.2534099999999996E-2</v>
      </c>
      <c r="X17" s="1163">
        <v>276.20385630000004</v>
      </c>
      <c r="Y17" s="1169">
        <v>3.7949992000000002E-2</v>
      </c>
      <c r="Z17" s="1169">
        <v>2.9398500000000001E-2</v>
      </c>
      <c r="AA17" s="1163">
        <v>260.83513739999995</v>
      </c>
    </row>
    <row r="18" spans="2:27" ht="39.75" customHeight="1" x14ac:dyDescent="0.25">
      <c r="B18" s="3266"/>
      <c r="C18" s="1168" t="s">
        <v>1155</v>
      </c>
      <c r="D18" s="1162">
        <v>2.4566861239999986</v>
      </c>
      <c r="E18" s="1162">
        <v>1.9095383400330266</v>
      </c>
      <c r="F18" s="1163">
        <v>13349.246608869569</v>
      </c>
      <c r="G18" s="1162">
        <v>2.6746143539999996</v>
      </c>
      <c r="H18" s="1162">
        <v>1.6729277931672728</v>
      </c>
      <c r="I18" s="1163">
        <v>11868.744081691757</v>
      </c>
      <c r="J18" s="1162">
        <v>2.6926659259999997</v>
      </c>
      <c r="K18" s="1162">
        <v>1.6473661163855167</v>
      </c>
      <c r="L18" s="1163">
        <v>12170.252962734508</v>
      </c>
      <c r="M18" s="1162">
        <v>3.0583418839999998</v>
      </c>
      <c r="N18" s="1162">
        <v>2.6419828697594201</v>
      </c>
      <c r="O18" s="1163">
        <v>19704.253841157111</v>
      </c>
      <c r="P18" s="1162">
        <v>2.1522550790000001</v>
      </c>
      <c r="Q18" s="1162">
        <v>2.3010662062422962</v>
      </c>
      <c r="R18" s="1163">
        <v>18449.367541941538</v>
      </c>
      <c r="S18" s="1162">
        <v>2.4124712879999999</v>
      </c>
      <c r="T18" s="1162">
        <v>2.3104581759999991</v>
      </c>
      <c r="U18" s="1163">
        <v>19129.155079972505</v>
      </c>
      <c r="V18" s="1162">
        <v>2.8641178109999985</v>
      </c>
      <c r="W18" s="1162">
        <v>2.5914580000000007</v>
      </c>
      <c r="X18" s="1163">
        <v>21894.281636599997</v>
      </c>
      <c r="Y18" s="1162">
        <v>3.1773548360000006</v>
      </c>
      <c r="Z18" s="1162">
        <v>2.7088641</v>
      </c>
      <c r="AA18" s="1163">
        <v>23924.200488299997</v>
      </c>
    </row>
    <row r="19" spans="2:27" ht="39.75" customHeight="1" x14ac:dyDescent="0.25">
      <c r="B19" s="3266"/>
      <c r="C19" s="1168" t="s">
        <v>1156</v>
      </c>
      <c r="D19" s="1162">
        <v>1.419399912</v>
      </c>
      <c r="E19" s="1162">
        <v>0.69648878490831223</v>
      </c>
      <c r="F19" s="1163">
        <v>4781.8736947586958</v>
      </c>
      <c r="G19" s="1162">
        <v>4.5829589620000002</v>
      </c>
      <c r="H19" s="1162">
        <v>1.649775685730086</v>
      </c>
      <c r="I19" s="1163">
        <v>11791.440651861294</v>
      </c>
      <c r="J19" s="1162">
        <v>6.4543538530000006</v>
      </c>
      <c r="K19" s="1162">
        <v>1.9358259865585921</v>
      </c>
      <c r="L19" s="1163">
        <v>14311.684145728948</v>
      </c>
      <c r="M19" s="1162">
        <v>8.9804641840000041</v>
      </c>
      <c r="N19" s="1162">
        <v>4.3790845994656928</v>
      </c>
      <c r="O19" s="1163">
        <v>32814.781891898623</v>
      </c>
      <c r="P19" s="1162">
        <v>8.5625943420000006</v>
      </c>
      <c r="Q19" s="1162">
        <v>4.2023134455823845</v>
      </c>
      <c r="R19" s="1163">
        <v>33474.245868285303</v>
      </c>
      <c r="S19" s="1162">
        <v>9.0526392719999986</v>
      </c>
      <c r="T19" s="1162">
        <v>4.0606494918425424</v>
      </c>
      <c r="U19" s="1163">
        <v>33668.823172527074</v>
      </c>
      <c r="V19" s="1162">
        <v>7.6739762840000028</v>
      </c>
      <c r="W19" s="1162">
        <v>3.4435414416598511</v>
      </c>
      <c r="X19" s="1163">
        <v>29049.355937166169</v>
      </c>
      <c r="Y19" s="1162">
        <v>5.4059803750000004</v>
      </c>
      <c r="Z19" s="1162">
        <v>2.1887801583983433</v>
      </c>
      <c r="AA19" s="1163">
        <v>19329.47456387366</v>
      </c>
    </row>
    <row r="20" spans="2:27" ht="39.75" customHeight="1" x14ac:dyDescent="0.25">
      <c r="B20" s="3266"/>
      <c r="C20" s="1168" t="s">
        <v>1054</v>
      </c>
      <c r="D20" s="1162">
        <v>0.87729763500000013</v>
      </c>
      <c r="E20" s="1162">
        <v>0.30913012355962155</v>
      </c>
      <c r="F20" s="1163">
        <v>2149.4747944000001</v>
      </c>
      <c r="G20" s="1162">
        <v>1.6296206660000003</v>
      </c>
      <c r="H20" s="1162">
        <v>0.50973769464811547</v>
      </c>
      <c r="I20" s="1163">
        <v>3633.6413101458174</v>
      </c>
      <c r="J20" s="1162">
        <v>2.0548013069999995</v>
      </c>
      <c r="K20" s="1162">
        <v>0.58640174020197922</v>
      </c>
      <c r="L20" s="1163">
        <v>4325.2140275484908</v>
      </c>
      <c r="M20" s="1162">
        <v>2.5805265739999999</v>
      </c>
      <c r="N20" s="1162">
        <v>1.02856272701</v>
      </c>
      <c r="O20" s="1163">
        <v>7678.022706574</v>
      </c>
      <c r="P20" s="1162">
        <v>2.797449699</v>
      </c>
      <c r="Q20" s="1162">
        <v>1.2365320371199997</v>
      </c>
      <c r="R20" s="1163">
        <v>9945.0762601845636</v>
      </c>
      <c r="S20" s="1162">
        <v>3.2436172710000006</v>
      </c>
      <c r="T20" s="1162">
        <v>1.3142033280902998</v>
      </c>
      <c r="U20" s="1163">
        <v>10874.5140447918</v>
      </c>
      <c r="V20" s="1162">
        <v>2.8999153309999999</v>
      </c>
      <c r="W20" s="1162">
        <v>1.0996104671726998</v>
      </c>
      <c r="X20" s="1163">
        <v>9325.7936617760024</v>
      </c>
      <c r="Y20" s="1162">
        <v>2.6510580099999999</v>
      </c>
      <c r="Z20" s="1162">
        <v>0.98493311142484996</v>
      </c>
      <c r="AA20" s="1163">
        <v>8660.6528500908589</v>
      </c>
    </row>
    <row r="21" spans="2:27" ht="39.75" customHeight="1" x14ac:dyDescent="0.25">
      <c r="B21" s="3266"/>
      <c r="C21" s="1168" t="s">
        <v>1157</v>
      </c>
      <c r="D21" s="1162">
        <v>7.9256373009999983</v>
      </c>
      <c r="E21" s="1162">
        <v>1.4937563733241757</v>
      </c>
      <c r="F21" s="1163">
        <v>10349.6308431</v>
      </c>
      <c r="G21" s="1162">
        <v>10.674081400000002</v>
      </c>
      <c r="H21" s="1162">
        <v>1.373649189878829</v>
      </c>
      <c r="I21" s="1163">
        <v>9713.208254600002</v>
      </c>
      <c r="J21" s="1162">
        <v>8.2562156100000017</v>
      </c>
      <c r="K21" s="1162">
        <v>0.86145085991948034</v>
      </c>
      <c r="L21" s="1163">
        <v>6409.6526691999989</v>
      </c>
      <c r="M21" s="1162">
        <v>4.2133641149999992</v>
      </c>
      <c r="N21" s="1162">
        <v>1.0972009</v>
      </c>
      <c r="O21" s="1163">
        <v>8203.2585750999988</v>
      </c>
      <c r="P21" s="1162">
        <v>8.6636792469999993</v>
      </c>
      <c r="Q21" s="1162">
        <v>2.2630109000000003</v>
      </c>
      <c r="R21" s="1163">
        <v>18157.358937199999</v>
      </c>
      <c r="S21" s="1162">
        <v>10.955784716999998</v>
      </c>
      <c r="T21" s="1162">
        <v>1.7288564</v>
      </c>
      <c r="U21" s="1163">
        <v>14309.593367099998</v>
      </c>
      <c r="V21" s="1162">
        <v>13.152580266999999</v>
      </c>
      <c r="W21" s="1162">
        <v>1.6107408000000001</v>
      </c>
      <c r="X21" s="1163">
        <v>13625.091972899998</v>
      </c>
      <c r="Y21" s="1162">
        <v>10.013329681</v>
      </c>
      <c r="Z21" s="1162">
        <v>1.3861799000000001</v>
      </c>
      <c r="AA21" s="1163">
        <v>12171.027174300003</v>
      </c>
    </row>
    <row r="22" spans="2:27" ht="39.75" customHeight="1" x14ac:dyDescent="0.25">
      <c r="B22" s="3266"/>
      <c r="C22" s="1168" t="s">
        <v>2344</v>
      </c>
      <c r="D22" s="1162">
        <v>3.8686818400000007</v>
      </c>
      <c r="E22" s="1162">
        <v>2.3577623488989667</v>
      </c>
      <c r="F22" s="1163">
        <v>16448.631733181333</v>
      </c>
      <c r="G22" s="1162">
        <v>2.7492247989999981</v>
      </c>
      <c r="H22" s="1162">
        <v>1.4377191685594271</v>
      </c>
      <c r="I22" s="1163">
        <v>10171.632332267249</v>
      </c>
      <c r="J22" s="1162">
        <v>4.1123329050000006</v>
      </c>
      <c r="K22" s="1162">
        <v>1.0379658088747425</v>
      </c>
      <c r="L22" s="1163">
        <v>7694.5448723102509</v>
      </c>
      <c r="M22" s="1162">
        <v>2.1893779549999999</v>
      </c>
      <c r="N22" s="1162">
        <v>1.5209230304961607</v>
      </c>
      <c r="O22" s="1163">
        <v>11319.477264863019</v>
      </c>
      <c r="P22" s="1162">
        <v>1.7988291930000009</v>
      </c>
      <c r="Q22" s="1162">
        <v>1.4250747480753905</v>
      </c>
      <c r="R22" s="1163">
        <v>11424.941898877585</v>
      </c>
      <c r="S22" s="1162">
        <v>2.543874927000001</v>
      </c>
      <c r="T22" s="1162">
        <v>1.6064916676513108</v>
      </c>
      <c r="U22" s="1163">
        <v>13285.823701768422</v>
      </c>
      <c r="V22" s="1162">
        <v>2.4283306209999993</v>
      </c>
      <c r="W22" s="1162">
        <v>1.5919371432109999</v>
      </c>
      <c r="X22" s="1163">
        <v>13413.700962280074</v>
      </c>
      <c r="Y22" s="1162">
        <v>2.5012327219999992</v>
      </c>
      <c r="Z22" s="1162">
        <v>1.5598179605529996</v>
      </c>
      <c r="AA22" s="1163">
        <v>13720.02672362761</v>
      </c>
    </row>
    <row r="23" spans="2:27" ht="39.75" customHeight="1" x14ac:dyDescent="0.25">
      <c r="B23" s="3266"/>
      <c r="C23" s="1171" t="s">
        <v>1158</v>
      </c>
      <c r="D23" s="919">
        <f t="shared" ref="D23:U23" si="0">SUM(D12:D22)</f>
        <v>33.348324303199988</v>
      </c>
      <c r="E23" s="919">
        <f t="shared" si="0"/>
        <v>16.34078982329703</v>
      </c>
      <c r="F23" s="1076">
        <f t="shared" si="0"/>
        <v>113665.43716665253</v>
      </c>
      <c r="G23" s="919">
        <f t="shared" si="0"/>
        <v>43.787610787399991</v>
      </c>
      <c r="H23" s="919">
        <f t="shared" si="0"/>
        <v>17.688678629451942</v>
      </c>
      <c r="I23" s="1076">
        <f t="shared" si="0"/>
        <v>125741.58788798656</v>
      </c>
      <c r="J23" s="919">
        <f t="shared" si="0"/>
        <v>43.247663141999993</v>
      </c>
      <c r="K23" s="919">
        <f t="shared" si="0"/>
        <v>14.770234822447875</v>
      </c>
      <c r="L23" s="1076">
        <f t="shared" si="0"/>
        <v>109429.66526921569</v>
      </c>
      <c r="M23" s="919">
        <f t="shared" si="0"/>
        <v>39.016681345999991</v>
      </c>
      <c r="N23" s="919">
        <f t="shared" si="0"/>
        <v>23.655583237171111</v>
      </c>
      <c r="O23" s="1076">
        <f t="shared" si="0"/>
        <v>176834.77647624083</v>
      </c>
      <c r="P23" s="919">
        <f t="shared" si="0"/>
        <v>44.597873366000009</v>
      </c>
      <c r="Q23" s="919">
        <f t="shared" si="0"/>
        <v>26.91249699236338</v>
      </c>
      <c r="R23" s="1076">
        <f t="shared" si="0"/>
        <v>215853.98809928415</v>
      </c>
      <c r="S23" s="919">
        <f t="shared" si="0"/>
        <v>48.692824963999996</v>
      </c>
      <c r="T23" s="919">
        <f t="shared" si="0"/>
        <v>22.932567961932165</v>
      </c>
      <c r="U23" s="1076">
        <f t="shared" si="0"/>
        <v>190068.56929878797</v>
      </c>
      <c r="V23" s="919">
        <v>50.903017792000007</v>
      </c>
      <c r="W23" s="919">
        <v>23.673293046022426</v>
      </c>
      <c r="X23" s="1076">
        <v>200183.29108108455</v>
      </c>
      <c r="Y23" s="919">
        <v>46.193044367000006</v>
      </c>
      <c r="Z23" s="919">
        <v>20.794754212668096</v>
      </c>
      <c r="AA23" s="1076">
        <v>183241.74886698934</v>
      </c>
    </row>
    <row r="24" spans="2:27" ht="39.75" customHeight="1" x14ac:dyDescent="0.25">
      <c r="B24" s="3266"/>
      <c r="C24" s="1164" t="s">
        <v>1148</v>
      </c>
      <c r="D24" s="1162">
        <v>14.579615496199995</v>
      </c>
      <c r="E24" s="1162">
        <v>8.0772783309198886</v>
      </c>
      <c r="F24" s="1163">
        <v>56178.315322913135</v>
      </c>
      <c r="G24" s="1162">
        <v>19.968794917399997</v>
      </c>
      <c r="H24" s="1162">
        <v>10.218080454120145</v>
      </c>
      <c r="I24" s="1163">
        <v>72699.1884991876</v>
      </c>
      <c r="J24" s="1162">
        <v>18.677499363000006</v>
      </c>
      <c r="K24" s="1162">
        <v>8.2706952539762373</v>
      </c>
      <c r="L24" s="1163">
        <v>61331.508172112837</v>
      </c>
      <c r="M24" s="1162">
        <v>18.069186532999996</v>
      </c>
      <c r="N24" s="1162">
        <v>12.985122667854521</v>
      </c>
      <c r="O24" s="1163">
        <v>97081.559175730697</v>
      </c>
      <c r="P24" s="1162">
        <v>19.854123976999997</v>
      </c>
      <c r="Q24" s="1162">
        <v>14.995946867182894</v>
      </c>
      <c r="R24" s="1163">
        <v>120451.80385250018</v>
      </c>
      <c r="S24" s="1162">
        <v>19.446761526999996</v>
      </c>
      <c r="T24" s="1162">
        <v>11.261204448058306</v>
      </c>
      <c r="U24" s="1163">
        <v>93410.411637372512</v>
      </c>
      <c r="V24" s="1162">
        <v>21.039157967999998</v>
      </c>
      <c r="W24" s="1162">
        <v>12.771879487618936</v>
      </c>
      <c r="X24" s="1163">
        <v>108147.7166206681</v>
      </c>
      <c r="Y24" s="1162">
        <v>21.286841173000003</v>
      </c>
      <c r="Z24" s="1162">
        <v>11.30768463318025</v>
      </c>
      <c r="AA24" s="1163">
        <v>99621.734768491166</v>
      </c>
    </row>
    <row r="25" spans="2:27" ht="39.75" customHeight="1" x14ac:dyDescent="0.25">
      <c r="B25" s="3266"/>
      <c r="C25" s="1164" t="s">
        <v>1149</v>
      </c>
      <c r="D25" s="1162">
        <v>18.768708807000007</v>
      </c>
      <c r="E25" s="1162">
        <v>8.2635114923771429</v>
      </c>
      <c r="F25" s="1163">
        <v>57487.12184373942</v>
      </c>
      <c r="G25" s="1162">
        <v>23.818815870000005</v>
      </c>
      <c r="H25" s="1162">
        <v>7.4705981753318005</v>
      </c>
      <c r="I25" s="1163">
        <v>53042.399388799</v>
      </c>
      <c r="J25" s="1162">
        <v>24.570163779000005</v>
      </c>
      <c r="K25" s="1162">
        <v>6.4995395684716453</v>
      </c>
      <c r="L25" s="1163">
        <v>48098.157097102885</v>
      </c>
      <c r="M25" s="1162">
        <v>20.947494813000016</v>
      </c>
      <c r="N25" s="1162">
        <v>10.670460569316598</v>
      </c>
      <c r="O25" s="1163">
        <v>79753.217300510049</v>
      </c>
      <c r="P25" s="1162">
        <v>24.743749388999984</v>
      </c>
      <c r="Q25" s="1162">
        <v>11.916550125180494</v>
      </c>
      <c r="R25" s="1163">
        <v>95402.184246783931</v>
      </c>
      <c r="S25" s="1162">
        <v>29.246063436999993</v>
      </c>
      <c r="T25" s="1162">
        <v>11.671363513873855</v>
      </c>
      <c r="U25" s="1163">
        <v>96658.157661415491</v>
      </c>
      <c r="V25" s="1162">
        <v>29.863859823999995</v>
      </c>
      <c r="W25" s="1162">
        <v>10.901413558403506</v>
      </c>
      <c r="X25" s="1163">
        <v>92035.574460416436</v>
      </c>
      <c r="Y25" s="1162">
        <v>24.906203194000007</v>
      </c>
      <c r="Z25" s="1162">
        <v>9.4870695794878408</v>
      </c>
      <c r="AA25" s="1163">
        <v>83620.014098498097</v>
      </c>
    </row>
    <row r="26" spans="2:27" ht="39.75" customHeight="1" x14ac:dyDescent="0.25">
      <c r="B26" s="3266"/>
      <c r="C26" s="1172" t="s">
        <v>1159</v>
      </c>
      <c r="D26" s="919">
        <f t="shared" ref="D26:U26" si="1">+D8+D23</f>
        <v>259.84594065466422</v>
      </c>
      <c r="E26" s="919">
        <f t="shared" si="1"/>
        <v>128.25546170919475</v>
      </c>
      <c r="F26" s="1076">
        <f t="shared" si="1"/>
        <v>896848.28727302118</v>
      </c>
      <c r="G26" s="919">
        <f t="shared" si="1"/>
        <v>270.74227630308428</v>
      </c>
      <c r="H26" s="919">
        <f t="shared" si="1"/>
        <v>119.06487178751911</v>
      </c>
      <c r="I26" s="1076">
        <f t="shared" si="1"/>
        <v>842742.56304731721</v>
      </c>
      <c r="J26" s="919">
        <f t="shared" si="1"/>
        <v>239.70852408749042</v>
      </c>
      <c r="K26" s="919">
        <f t="shared" si="1"/>
        <v>77.018281768849619</v>
      </c>
      <c r="L26" s="1076">
        <f t="shared" si="1"/>
        <v>569208.23448223923</v>
      </c>
      <c r="M26" s="919">
        <f t="shared" si="1"/>
        <v>251.39830378223945</v>
      </c>
      <c r="N26" s="919">
        <f t="shared" si="1"/>
        <v>144.33073615512365</v>
      </c>
      <c r="O26" s="1076">
        <f t="shared" si="1"/>
        <v>1078096.9684475288</v>
      </c>
      <c r="P26" s="919">
        <f t="shared" si="1"/>
        <v>277.29828534482601</v>
      </c>
      <c r="Q26" s="919">
        <f t="shared" si="1"/>
        <v>184.44352110315936</v>
      </c>
      <c r="R26" s="1076">
        <f t="shared" si="1"/>
        <v>1476225.8124460545</v>
      </c>
      <c r="S26" s="919">
        <f t="shared" si="1"/>
        <v>282.95440453707789</v>
      </c>
      <c r="T26" s="919">
        <f t="shared" si="1"/>
        <v>156.29899761557968</v>
      </c>
      <c r="U26" s="1076">
        <f t="shared" si="1"/>
        <v>1295244.4253974741</v>
      </c>
      <c r="V26" s="919">
        <v>294.12798915404892</v>
      </c>
      <c r="W26" s="919">
        <v>160.8472624881411</v>
      </c>
      <c r="X26" s="1076">
        <v>1360801.1675470571</v>
      </c>
      <c r="Y26" s="919">
        <v>291.96171800993199</v>
      </c>
      <c r="Z26" s="919">
        <v>144.17401093367536</v>
      </c>
      <c r="AA26" s="1076">
        <v>1275489.6051973514</v>
      </c>
    </row>
    <row r="27" spans="2:27" ht="39.75" customHeight="1" x14ac:dyDescent="0.25">
      <c r="B27" s="3266" t="s">
        <v>1160</v>
      </c>
      <c r="C27" s="920" t="s">
        <v>1150</v>
      </c>
      <c r="D27" s="919"/>
      <c r="E27" s="919"/>
      <c r="F27" s="1076"/>
      <c r="G27" s="919"/>
      <c r="H27" s="919"/>
      <c r="I27" s="1076"/>
      <c r="J27" s="919"/>
      <c r="K27" s="919"/>
      <c r="L27" s="1076"/>
      <c r="M27" s="919"/>
      <c r="N27" s="919"/>
      <c r="O27" s="1076"/>
      <c r="P27" s="919"/>
      <c r="Q27" s="919"/>
      <c r="R27" s="1076"/>
      <c r="S27" s="919"/>
      <c r="T27" s="919"/>
      <c r="U27" s="1076"/>
      <c r="V27" s="919"/>
      <c r="W27" s="919"/>
      <c r="X27" s="1076"/>
      <c r="Y27" s="1166"/>
      <c r="Z27" s="1167"/>
      <c r="AA27" s="1167"/>
    </row>
    <row r="28" spans="2:27" ht="39.75" customHeight="1" x14ac:dyDescent="0.25">
      <c r="B28" s="3266"/>
      <c r="C28" s="1168" t="s">
        <v>112</v>
      </c>
      <c r="D28" s="1162">
        <v>0.41696796299999939</v>
      </c>
      <c r="E28" s="1162">
        <v>0.28275007703426697</v>
      </c>
      <c r="F28" s="1163">
        <v>1975.7371092999999</v>
      </c>
      <c r="G28" s="1162">
        <v>0.46325791599999933</v>
      </c>
      <c r="H28" s="1162">
        <v>0.27698938252240646</v>
      </c>
      <c r="I28" s="1163">
        <v>1970.4535234000002</v>
      </c>
      <c r="J28" s="1162">
        <v>0.45198652699999925</v>
      </c>
      <c r="K28" s="1162">
        <v>0.24094674960861864</v>
      </c>
      <c r="L28" s="1163">
        <v>1796.6654263700002</v>
      </c>
      <c r="M28" s="1162">
        <v>0.51285611899999939</v>
      </c>
      <c r="N28" s="1162">
        <v>0.43013426562601886</v>
      </c>
      <c r="O28" s="1163">
        <v>3213.5824386000004</v>
      </c>
      <c r="P28" s="1162">
        <v>0.53952472939999963</v>
      </c>
      <c r="Q28" s="1162">
        <v>0.48609346721130975</v>
      </c>
      <c r="R28" s="1163">
        <v>3891.1621845</v>
      </c>
      <c r="S28" s="1162">
        <v>0.52538200000000002</v>
      </c>
      <c r="T28" s="1162">
        <v>0.389152</v>
      </c>
      <c r="U28" s="1163">
        <v>3214.83</v>
      </c>
      <c r="V28" s="1162">
        <v>0.55118563799999998</v>
      </c>
      <c r="W28" s="1162">
        <v>0.42664353366550001</v>
      </c>
      <c r="X28" s="1163">
        <v>3610.9332898000007</v>
      </c>
      <c r="Y28" s="1162">
        <v>0.56629792999999995</v>
      </c>
      <c r="Z28" s="1162">
        <v>0.39844000000000002</v>
      </c>
      <c r="AA28" s="1163">
        <v>3418.7189999999996</v>
      </c>
    </row>
    <row r="29" spans="2:27" ht="39.75" customHeight="1" x14ac:dyDescent="0.25">
      <c r="B29" s="3266"/>
      <c r="C29" s="1168" t="s">
        <v>1151</v>
      </c>
      <c r="D29" s="1162">
        <v>12.884946636617318</v>
      </c>
      <c r="E29" s="1162">
        <v>8.641133678344918</v>
      </c>
      <c r="F29" s="1163">
        <v>60418.809034306658</v>
      </c>
      <c r="G29" s="1162">
        <v>12.710251559421609</v>
      </c>
      <c r="H29" s="1162">
        <v>7.7075090106905071</v>
      </c>
      <c r="I29" s="1163">
        <v>54511.863562145852</v>
      </c>
      <c r="J29" s="1162">
        <v>11.605833277647141</v>
      </c>
      <c r="K29" s="1162">
        <v>4.976555086588033</v>
      </c>
      <c r="L29" s="1163">
        <v>36529.618009341015</v>
      </c>
      <c r="M29" s="1162">
        <v>13.482484091669699</v>
      </c>
      <c r="N29" s="1162">
        <v>10.87902833567737</v>
      </c>
      <c r="O29" s="1163">
        <v>81648.60767843065</v>
      </c>
      <c r="P29" s="1162">
        <v>13.12685295297578</v>
      </c>
      <c r="Q29" s="1162">
        <v>12.868484899482102</v>
      </c>
      <c r="R29" s="1163">
        <v>102799.61294278452</v>
      </c>
      <c r="S29" s="1162">
        <v>13.472477672666992</v>
      </c>
      <c r="T29" s="1162">
        <v>11.249112987894092</v>
      </c>
      <c r="U29" s="1163">
        <v>92956.909157478076</v>
      </c>
      <c r="V29" s="1162">
        <v>15.830478922568396</v>
      </c>
      <c r="W29" s="1162">
        <v>11.613347544582398</v>
      </c>
      <c r="X29" s="1163">
        <v>98378.51302969025</v>
      </c>
      <c r="Y29" s="1162">
        <v>16.665600268129246</v>
      </c>
      <c r="Z29" s="1162">
        <v>11.51669049254685</v>
      </c>
      <c r="AA29" s="1163">
        <v>102918.73913451357</v>
      </c>
    </row>
    <row r="30" spans="2:27" ht="39.75" customHeight="1" x14ac:dyDescent="0.25">
      <c r="B30" s="3266"/>
      <c r="C30" s="1168" t="s">
        <v>1046</v>
      </c>
      <c r="D30" s="1162">
        <v>6.963480277999996</v>
      </c>
      <c r="E30" s="1162">
        <v>4.1370452948613012</v>
      </c>
      <c r="F30" s="1163">
        <v>28893.121133585915</v>
      </c>
      <c r="G30" s="1162">
        <v>8.8966410962000015</v>
      </c>
      <c r="H30" s="1162">
        <v>4.4389956800330861</v>
      </c>
      <c r="I30" s="1163">
        <v>31508.548839345662</v>
      </c>
      <c r="J30" s="1162">
        <v>6.5091123829999997</v>
      </c>
      <c r="K30" s="1162">
        <v>2.5301087391342372</v>
      </c>
      <c r="L30" s="1163">
        <v>18642.821182973839</v>
      </c>
      <c r="M30" s="1162">
        <v>6.8611196429999994</v>
      </c>
      <c r="N30" s="1162">
        <v>4.9838937526903138</v>
      </c>
      <c r="O30" s="1163">
        <v>37231.319877000438</v>
      </c>
      <c r="P30" s="1162">
        <v>5.7141039689999999</v>
      </c>
      <c r="Q30" s="1162">
        <v>4.1841401748076787</v>
      </c>
      <c r="R30" s="1163">
        <v>33356.575079220638</v>
      </c>
      <c r="S30" s="1162">
        <v>5.275269655999999</v>
      </c>
      <c r="T30" s="1162">
        <v>3.2616533341651013</v>
      </c>
      <c r="U30" s="1163">
        <v>27018.558618478201</v>
      </c>
      <c r="V30" s="1162">
        <v>5.1689983050000006</v>
      </c>
      <c r="W30" s="1162">
        <v>3.3850851586253987</v>
      </c>
      <c r="X30" s="1163">
        <v>28632.612884894414</v>
      </c>
      <c r="Y30" s="1162">
        <v>5.9657181429999993</v>
      </c>
      <c r="Z30" s="1162">
        <v>3.4428764960502738</v>
      </c>
      <c r="AA30" s="1163">
        <v>30373.711605672372</v>
      </c>
    </row>
    <row r="31" spans="2:27" ht="39.75" customHeight="1" x14ac:dyDescent="0.25">
      <c r="B31" s="3266"/>
      <c r="C31" s="1168" t="s">
        <v>1152</v>
      </c>
      <c r="D31" s="1162">
        <v>7.3890568138136663</v>
      </c>
      <c r="E31" s="1162">
        <v>4.8666890988230858</v>
      </c>
      <c r="F31" s="1163">
        <v>34029.99527587551</v>
      </c>
      <c r="G31" s="1162">
        <v>6.906477616378881</v>
      </c>
      <c r="H31" s="1162">
        <v>4.0209874793586255</v>
      </c>
      <c r="I31" s="1163">
        <v>28458.270814954984</v>
      </c>
      <c r="J31" s="1162">
        <v>3.5443877338260865</v>
      </c>
      <c r="K31" s="1162">
        <v>1.2870401343276012</v>
      </c>
      <c r="L31" s="1163">
        <v>9376.8161929304297</v>
      </c>
      <c r="M31" s="1162">
        <v>5.1855130148012423</v>
      </c>
      <c r="N31" s="1162">
        <v>3.6606958942973127</v>
      </c>
      <c r="O31" s="1163">
        <v>27111.727456277509</v>
      </c>
      <c r="P31" s="1162">
        <v>7.263565430521739</v>
      </c>
      <c r="Q31" s="1162">
        <v>7.2848491063930672</v>
      </c>
      <c r="R31" s="1163">
        <v>58598.076450404988</v>
      </c>
      <c r="S31" s="1162">
        <v>8.5793739019999986</v>
      </c>
      <c r="T31" s="1162">
        <v>6.9944055991879974</v>
      </c>
      <c r="U31" s="1163">
        <v>57959.343967350665</v>
      </c>
      <c r="V31" s="1162">
        <v>8.5539555239999991</v>
      </c>
      <c r="W31" s="1162">
        <v>6.0750581271240005</v>
      </c>
      <c r="X31" s="1163">
        <v>51267.118800067423</v>
      </c>
      <c r="Y31" s="1162">
        <v>6.8062199899999989</v>
      </c>
      <c r="Z31" s="1162">
        <v>4.7349972013210007</v>
      </c>
      <c r="AA31" s="1163">
        <v>42492.724149812129</v>
      </c>
    </row>
    <row r="32" spans="2:27" ht="39.75" customHeight="1" x14ac:dyDescent="0.25">
      <c r="B32" s="3266"/>
      <c r="C32" s="1168" t="s">
        <v>1153</v>
      </c>
      <c r="D32" s="1169">
        <v>1.8748923510530025E-2</v>
      </c>
      <c r="E32" s="1169">
        <v>1.4004636986994458E-2</v>
      </c>
      <c r="F32" s="1163">
        <v>97.639977300000012</v>
      </c>
      <c r="G32" s="1162">
        <v>0.17621543871110937</v>
      </c>
      <c r="H32" s="1162">
        <v>7.7579331902283097E-2</v>
      </c>
      <c r="I32" s="1163">
        <v>559.70069025980013</v>
      </c>
      <c r="J32" s="1169">
        <v>1.512878728568073E-2</v>
      </c>
      <c r="K32" s="1169">
        <v>6.5207552593218197E-3</v>
      </c>
      <c r="L32" s="1163">
        <v>48.416582699999999</v>
      </c>
      <c r="M32" s="1169">
        <v>1.4320833007124403E-2</v>
      </c>
      <c r="N32" s="1169">
        <v>1.0287177024624875E-2</v>
      </c>
      <c r="O32" s="1163">
        <v>76.918181900000008</v>
      </c>
      <c r="P32" s="1169">
        <v>1.0833260549596803E-2</v>
      </c>
      <c r="Q32" s="1169">
        <v>1.2601545827694237E-2</v>
      </c>
      <c r="R32" s="1163">
        <v>100.48098669999997</v>
      </c>
      <c r="S32" s="1169">
        <v>1.0890999999999998E-2</v>
      </c>
      <c r="T32" s="1169">
        <v>9.9790000000000018E-3</v>
      </c>
      <c r="U32" s="1163">
        <v>82.390000000000015</v>
      </c>
      <c r="V32" s="1169">
        <v>1.1961593000000001E-2</v>
      </c>
      <c r="W32" s="1170">
        <v>9.9547913815999992E-3</v>
      </c>
      <c r="X32" s="1163">
        <v>84.173869400000015</v>
      </c>
      <c r="Y32" s="1169">
        <v>1.8784650000000003E-2</v>
      </c>
      <c r="Z32" s="1169">
        <v>1.4759E-2</v>
      </c>
      <c r="AA32" s="1163">
        <v>126.572</v>
      </c>
    </row>
    <row r="33" spans="2:27" ht="39.75" customHeight="1" x14ac:dyDescent="0.25">
      <c r="B33" s="3266"/>
      <c r="C33" s="1168" t="s">
        <v>1154</v>
      </c>
      <c r="D33" s="1162">
        <v>27.832719579668147</v>
      </c>
      <c r="E33" s="1162">
        <v>17.625177086835226</v>
      </c>
      <c r="F33" s="1163">
        <v>123518.6245252924</v>
      </c>
      <c r="G33" s="1162">
        <v>31.653367143730609</v>
      </c>
      <c r="H33" s="1162">
        <v>17.48066344537726</v>
      </c>
      <c r="I33" s="1163">
        <v>123919.27023760149</v>
      </c>
      <c r="J33" s="1162">
        <v>30.57588028790833</v>
      </c>
      <c r="K33" s="1162">
        <v>11.132289185738351</v>
      </c>
      <c r="L33" s="1163">
        <v>81610.75123889379</v>
      </c>
      <c r="M33" s="1162">
        <v>32.407154052460093</v>
      </c>
      <c r="N33" s="1162">
        <v>22.088198691351302</v>
      </c>
      <c r="O33" s="1163">
        <v>164741.24788338746</v>
      </c>
      <c r="P33" s="1162">
        <v>28.494433863377505</v>
      </c>
      <c r="Q33" s="1162">
        <v>28.859118493285727</v>
      </c>
      <c r="R33" s="1163">
        <v>230813.45619475679</v>
      </c>
      <c r="S33" s="1162">
        <v>28.204441859190101</v>
      </c>
      <c r="T33" s="1162">
        <v>22.062367713664202</v>
      </c>
      <c r="U33" s="1163">
        <v>182399.35713210955</v>
      </c>
      <c r="V33" s="1162">
        <v>28.027261155991706</v>
      </c>
      <c r="W33" s="1162">
        <v>19.106301348763214</v>
      </c>
      <c r="X33" s="1163">
        <v>161826.34334777796</v>
      </c>
      <c r="Y33" s="1162">
        <v>27.318063140092363</v>
      </c>
      <c r="Z33" s="1162">
        <v>19.058675776284911</v>
      </c>
      <c r="AA33" s="1163">
        <v>171871.43545883868</v>
      </c>
    </row>
    <row r="34" spans="2:27" ht="39.75" customHeight="1" x14ac:dyDescent="0.25">
      <c r="B34" s="3266"/>
      <c r="C34" s="1168" t="s">
        <v>1051</v>
      </c>
      <c r="D34" s="1162">
        <v>9.8709999999999992E-2</v>
      </c>
      <c r="E34" s="1169">
        <v>4.9590000000000002E-2</v>
      </c>
      <c r="F34" s="1163">
        <v>363.83344999999997</v>
      </c>
      <c r="G34" s="1162">
        <v>0</v>
      </c>
      <c r="H34" s="1162">
        <v>0</v>
      </c>
      <c r="I34" s="1163">
        <v>0</v>
      </c>
      <c r="J34" s="1162">
        <v>0</v>
      </c>
      <c r="K34" s="1162">
        <v>0</v>
      </c>
      <c r="L34" s="1163">
        <v>0</v>
      </c>
      <c r="M34" s="1162">
        <v>3.7100000000000001E-5</v>
      </c>
      <c r="N34" s="1162">
        <v>2.9661955068064801E-5</v>
      </c>
      <c r="O34" s="1163">
        <v>0.22148899999999999</v>
      </c>
      <c r="P34" s="1170">
        <v>1.4897272621184913E-3</v>
      </c>
      <c r="Q34" s="1170">
        <v>1.5921731338584366E-3</v>
      </c>
      <c r="R34" s="1163">
        <v>12.823656</v>
      </c>
      <c r="S34" s="1162">
        <v>5.3999999999999998E-5</v>
      </c>
      <c r="T34" s="1162">
        <v>5.0000000000000002E-5</v>
      </c>
      <c r="U34" s="1163">
        <v>0.39</v>
      </c>
      <c r="V34" s="1162">
        <v>0</v>
      </c>
      <c r="W34" s="1162">
        <v>0</v>
      </c>
      <c r="X34" s="1163">
        <v>0</v>
      </c>
      <c r="Y34" s="1162">
        <v>0</v>
      </c>
      <c r="Z34" s="1162">
        <v>0</v>
      </c>
      <c r="AA34" s="1163">
        <v>0</v>
      </c>
    </row>
    <row r="35" spans="2:27" ht="39.75" customHeight="1" x14ac:dyDescent="0.25">
      <c r="B35" s="3266"/>
      <c r="C35" s="1168" t="s">
        <v>1155</v>
      </c>
      <c r="D35" s="1169">
        <v>8.1436300000000007E-3</v>
      </c>
      <c r="E35" s="1169">
        <v>1.5122732235837063E-2</v>
      </c>
      <c r="F35" s="1163">
        <v>106</v>
      </c>
      <c r="G35" s="1169">
        <v>7.78066E-3</v>
      </c>
      <c r="H35" s="1169">
        <v>1.3483251527458223E-2</v>
      </c>
      <c r="I35" s="1163">
        <v>95.970000000000027</v>
      </c>
      <c r="J35" s="1169">
        <v>1.4864084999999999E-2</v>
      </c>
      <c r="K35" s="1169">
        <v>1.2473756133833331E-2</v>
      </c>
      <c r="L35" s="1163">
        <v>92.944733172000014</v>
      </c>
      <c r="M35" s="1169">
        <v>1.036194E-2</v>
      </c>
      <c r="N35" s="1169">
        <v>1.5268072530147593E-2</v>
      </c>
      <c r="O35" s="1163">
        <v>114.45311998</v>
      </c>
      <c r="P35" s="1169">
        <v>1.380609823125961E-2</v>
      </c>
      <c r="Q35" s="1169">
        <v>2.5525600612627666E-2</v>
      </c>
      <c r="R35" s="1163">
        <v>204.87498282665112</v>
      </c>
      <c r="S35" s="1169">
        <v>1.4808285986800004E-2</v>
      </c>
      <c r="T35" s="1169">
        <v>2.3785748659700005E-2</v>
      </c>
      <c r="U35" s="1163">
        <v>200.36134781830009</v>
      </c>
      <c r="V35" s="1169">
        <v>1.7049557995100002E-2</v>
      </c>
      <c r="W35" s="1169">
        <v>3.6255062977300002E-2</v>
      </c>
      <c r="X35" s="1163">
        <v>306.42518054500005</v>
      </c>
      <c r="Y35" s="1170">
        <v>1.1043417134375406E-2</v>
      </c>
      <c r="Z35" s="1169">
        <v>1.8350508942225906E-2</v>
      </c>
      <c r="AA35" s="1163">
        <v>164.42182290694674</v>
      </c>
    </row>
    <row r="36" spans="2:27" ht="39.75" customHeight="1" x14ac:dyDescent="0.25">
      <c r="B36" s="3266"/>
      <c r="C36" s="1168" t="s">
        <v>1156</v>
      </c>
      <c r="D36" s="1162">
        <v>2.1965684890000001</v>
      </c>
      <c r="E36" s="1162">
        <v>0.92263137858770305</v>
      </c>
      <c r="F36" s="1163">
        <v>6537.1072714164393</v>
      </c>
      <c r="G36" s="1162">
        <v>1.5270171570000002</v>
      </c>
      <c r="H36" s="1162">
        <v>0.53651121138614577</v>
      </c>
      <c r="I36" s="1163">
        <v>3811.2168073318235</v>
      </c>
      <c r="J36" s="1162">
        <v>1.1773708540000001</v>
      </c>
      <c r="K36" s="1162">
        <v>0.31313114897144234</v>
      </c>
      <c r="L36" s="1163">
        <v>2318.3597192643238</v>
      </c>
      <c r="M36" s="1162">
        <v>1.7573214519999998</v>
      </c>
      <c r="N36" s="1162">
        <v>0.89032753513801277</v>
      </c>
      <c r="O36" s="1163">
        <v>6633.0797204621913</v>
      </c>
      <c r="P36" s="1162">
        <v>1.8409374049999996</v>
      </c>
      <c r="Q36" s="1162">
        <v>0.97294069451984999</v>
      </c>
      <c r="R36" s="1163">
        <v>7834.1901917744772</v>
      </c>
      <c r="S36" s="1162">
        <v>2.1029561478410002</v>
      </c>
      <c r="T36" s="1162">
        <v>0.95938628350370003</v>
      </c>
      <c r="U36" s="1163">
        <v>7960.9802432522984</v>
      </c>
      <c r="V36" s="1162">
        <v>2.4131793500000005</v>
      </c>
      <c r="W36" s="1162">
        <v>1.068983377684251</v>
      </c>
      <c r="X36" s="1163">
        <v>9049.5847666674999</v>
      </c>
      <c r="Y36" s="1162">
        <v>2.0038581489999996</v>
      </c>
      <c r="Z36" s="1162">
        <v>0.84272980739944281</v>
      </c>
      <c r="AA36" s="1163">
        <v>7500.0856592052924</v>
      </c>
    </row>
    <row r="37" spans="2:27" ht="39.75" customHeight="1" x14ac:dyDescent="0.25">
      <c r="B37" s="3266"/>
      <c r="C37" s="1168" t="s">
        <v>1054</v>
      </c>
      <c r="D37" s="1169">
        <v>2.2687529999999997E-2</v>
      </c>
      <c r="E37" s="1169">
        <v>1.0180121989430305E-2</v>
      </c>
      <c r="F37" s="1163">
        <v>71.797439299999994</v>
      </c>
      <c r="G37" s="1169">
        <v>2.5343859999999999E-2</v>
      </c>
      <c r="H37" s="1169">
        <v>1.2514926334778702E-2</v>
      </c>
      <c r="I37" s="1163">
        <v>88.6002163</v>
      </c>
      <c r="J37" s="1169">
        <v>6.9444700000000003E-3</v>
      </c>
      <c r="K37" s="1170">
        <v>3.187972646598123E-3</v>
      </c>
      <c r="L37" s="1163">
        <v>23.485345299999999</v>
      </c>
      <c r="M37" s="1169">
        <v>6.1739600000000009E-3</v>
      </c>
      <c r="N37" s="1170">
        <v>3.7481174423358672E-3</v>
      </c>
      <c r="O37" s="1163">
        <v>27.863056900000004</v>
      </c>
      <c r="P37" s="1169">
        <v>8.7877970000000017E-3</v>
      </c>
      <c r="Q37" s="1169">
        <v>5.2139242830912128E-3</v>
      </c>
      <c r="R37" s="1163">
        <v>42.41226799999999</v>
      </c>
      <c r="S37" s="1169">
        <v>1.7564695999999998E-2</v>
      </c>
      <c r="T37" s="1170">
        <v>8.7452731907000005E-3</v>
      </c>
      <c r="U37" s="1163">
        <v>72.335557873000013</v>
      </c>
      <c r="V37" s="1169">
        <v>2.3067804000000001E-2</v>
      </c>
      <c r="W37" s="1169">
        <v>1.15913690336E-2</v>
      </c>
      <c r="X37" s="1163">
        <v>98.115656491999985</v>
      </c>
      <c r="Y37" s="1169">
        <v>3.2424089999999996E-2</v>
      </c>
      <c r="Z37" s="1169">
        <v>1.7641994957050055E-2</v>
      </c>
      <c r="AA37" s="1163">
        <v>156.44416700000002</v>
      </c>
    </row>
    <row r="38" spans="2:27" ht="39.75" customHeight="1" x14ac:dyDescent="0.25">
      <c r="B38" s="3266"/>
      <c r="C38" s="1168" t="s">
        <v>1161</v>
      </c>
      <c r="D38" s="1162">
        <v>1.1238521129999999</v>
      </c>
      <c r="E38" s="1162">
        <v>0.46319587507856047</v>
      </c>
      <c r="F38" s="1163">
        <v>3254.9861387506494</v>
      </c>
      <c r="G38" s="1162">
        <v>0.46519635900000006</v>
      </c>
      <c r="H38" s="1162">
        <v>0.15499475246839831</v>
      </c>
      <c r="I38" s="1163">
        <v>1096.0435664545435</v>
      </c>
      <c r="J38" s="1162">
        <v>0.57731768399999994</v>
      </c>
      <c r="K38" s="1169">
        <v>3.8740332322765275E-2</v>
      </c>
      <c r="L38" s="1163">
        <v>292.13141863275001</v>
      </c>
      <c r="M38" s="1162">
        <v>0.18703931000000001</v>
      </c>
      <c r="N38" s="1162">
        <v>7.4399058648688385E-2</v>
      </c>
      <c r="O38" s="1163">
        <v>553.31609822399992</v>
      </c>
      <c r="P38" s="1162">
        <v>0.28408826499999995</v>
      </c>
      <c r="Q38" s="1162">
        <v>8.1032109129065708E-2</v>
      </c>
      <c r="R38" s="1163">
        <v>648.07101571810006</v>
      </c>
      <c r="S38" s="1169">
        <v>2.75E-2</v>
      </c>
      <c r="T38" s="1170">
        <v>2.8123149999999997E-3</v>
      </c>
      <c r="U38" s="1163">
        <v>23.082036235999997</v>
      </c>
      <c r="V38" s="1162">
        <v>0.69229319999999994</v>
      </c>
      <c r="W38" s="1162">
        <v>0.38566363110999996</v>
      </c>
      <c r="X38" s="1163">
        <v>3230.5750794159994</v>
      </c>
      <c r="Y38" s="1162">
        <v>0.26086635999999996</v>
      </c>
      <c r="Z38" s="1162">
        <v>0.13794690242761412</v>
      </c>
      <c r="AA38" s="1163">
        <v>1219.3959890250001</v>
      </c>
    </row>
    <row r="39" spans="2:27" ht="39.75" customHeight="1" x14ac:dyDescent="0.25">
      <c r="B39" s="3266"/>
      <c r="C39" s="1168" t="s">
        <v>2345</v>
      </c>
      <c r="D39" s="1162">
        <v>2.1398508171230004</v>
      </c>
      <c r="E39" s="1162">
        <v>1.2081037189323887</v>
      </c>
      <c r="F39" s="1163">
        <v>8428.873043738</v>
      </c>
      <c r="G39" s="1162">
        <v>2.8536873689549997</v>
      </c>
      <c r="H39" s="1162">
        <v>1.1277198963376733</v>
      </c>
      <c r="I39" s="1163">
        <v>7997.6039320862474</v>
      </c>
      <c r="J39" s="1162">
        <v>2.2898742663369993</v>
      </c>
      <c r="K39" s="1162">
        <v>0.86518087741823191</v>
      </c>
      <c r="L39" s="1163">
        <v>6435.7007190593986</v>
      </c>
      <c r="M39" s="1162">
        <v>2.3301597671470002</v>
      </c>
      <c r="N39" s="1162">
        <v>1.4020591597502219</v>
      </c>
      <c r="O39" s="1163">
        <v>10448.664917132792</v>
      </c>
      <c r="P39" s="1162">
        <v>3.7165130437889999</v>
      </c>
      <c r="Q39" s="1162">
        <v>2.5417374369676229</v>
      </c>
      <c r="R39" s="1163">
        <v>20426.930553319005</v>
      </c>
      <c r="S39" s="1162">
        <v>4.3621472876999983</v>
      </c>
      <c r="T39" s="1162">
        <v>2.7559364213357709</v>
      </c>
      <c r="U39" s="1163">
        <v>22834.628521597457</v>
      </c>
      <c r="V39" s="1162">
        <v>3.7862591122689997</v>
      </c>
      <c r="W39" s="1162">
        <v>2.2878996818461714</v>
      </c>
      <c r="X39" s="1163">
        <v>19284.419560842314</v>
      </c>
      <c r="Y39" s="1162">
        <v>1.7785396903200004</v>
      </c>
      <c r="Z39" s="1162">
        <v>0.95476548690523122</v>
      </c>
      <c r="AA39" s="1163">
        <v>8465.3755910243162</v>
      </c>
    </row>
    <row r="40" spans="2:27" ht="39.75" customHeight="1" x14ac:dyDescent="0.25">
      <c r="B40" s="3266"/>
      <c r="C40" s="1171" t="s">
        <v>1162</v>
      </c>
      <c r="D40" s="919">
        <f t="shared" ref="D40:U40" si="2">SUM(D28:D39)</f>
        <v>61.095732773732649</v>
      </c>
      <c r="E40" s="919">
        <f t="shared" si="2"/>
        <v>38.235623699709706</v>
      </c>
      <c r="F40" s="1076">
        <f t="shared" si="2"/>
        <v>267696.52439886553</v>
      </c>
      <c r="G40" s="919">
        <f t="shared" si="2"/>
        <v>65.685236175397208</v>
      </c>
      <c r="H40" s="919">
        <f t="shared" si="2"/>
        <v>35.847948367938628</v>
      </c>
      <c r="I40" s="1076">
        <f t="shared" si="2"/>
        <v>254017.54218988039</v>
      </c>
      <c r="J40" s="919">
        <f t="shared" si="2"/>
        <v>56.768700356004238</v>
      </c>
      <c r="K40" s="919">
        <f t="shared" si="2"/>
        <v>21.40617473814903</v>
      </c>
      <c r="L40" s="1076">
        <f t="shared" si="2"/>
        <v>157167.7105686375</v>
      </c>
      <c r="M40" s="919">
        <f t="shared" si="2"/>
        <v>62.75454128308516</v>
      </c>
      <c r="N40" s="919">
        <f t="shared" si="2"/>
        <v>44.438069722131416</v>
      </c>
      <c r="O40" s="1076">
        <f t="shared" si="2"/>
        <v>331801.0019172951</v>
      </c>
      <c r="P40" s="919">
        <f t="shared" si="2"/>
        <v>61.014936542106994</v>
      </c>
      <c r="Q40" s="919">
        <f t="shared" si="2"/>
        <v>57.323329625653692</v>
      </c>
      <c r="R40" s="1076">
        <f t="shared" si="2"/>
        <v>458728.66650600516</v>
      </c>
      <c r="S40" s="919">
        <f t="shared" si="2"/>
        <v>62.592866507384898</v>
      </c>
      <c r="T40" s="919">
        <f t="shared" si="2"/>
        <v>47.717386676601258</v>
      </c>
      <c r="U40" s="1076">
        <f t="shared" si="2"/>
        <v>394723.16658219357</v>
      </c>
      <c r="V40" s="919">
        <v>65.075690162824202</v>
      </c>
      <c r="W40" s="919">
        <v>44.406783626793427</v>
      </c>
      <c r="X40" s="1076">
        <v>375768.8154655929</v>
      </c>
      <c r="Y40" s="919">
        <v>61.427415827675993</v>
      </c>
      <c r="Z40" s="919">
        <v>41.137873666834608</v>
      </c>
      <c r="AA40" s="1076">
        <v>368707.62457799824</v>
      </c>
    </row>
    <row r="41" spans="2:27" ht="39.75" customHeight="1" x14ac:dyDescent="0.25">
      <c r="B41" s="1160"/>
      <c r="C41" s="1164" t="s">
        <v>1148</v>
      </c>
      <c r="D41" s="1162">
        <v>13.375803539732649</v>
      </c>
      <c r="E41" s="1162">
        <v>8.0509692251898652</v>
      </c>
      <c r="F41" s="1163">
        <v>56414.692645452611</v>
      </c>
      <c r="G41" s="1162">
        <v>14.203827868397218</v>
      </c>
      <c r="H41" s="1162">
        <v>7.4924845401480038</v>
      </c>
      <c r="I41" s="1163">
        <v>53275.640261918583</v>
      </c>
      <c r="J41" s="1162">
        <v>10.649321171004235</v>
      </c>
      <c r="K41" s="1162">
        <v>4.0034910888817761</v>
      </c>
      <c r="L41" s="1163">
        <v>29707.914882252862</v>
      </c>
      <c r="M41" s="1162">
        <v>14.197298593085158</v>
      </c>
      <c r="N41" s="1162">
        <v>10.255442755120116</v>
      </c>
      <c r="O41" s="1163">
        <v>76774.608043615342</v>
      </c>
      <c r="P41" s="1162">
        <v>12.880749802107005</v>
      </c>
      <c r="Q41" s="1162">
        <v>11.624844228792632</v>
      </c>
      <c r="R41" s="1163">
        <v>92805.17358079167</v>
      </c>
      <c r="S41" s="1162">
        <v>13.156660479384898</v>
      </c>
      <c r="T41" s="1162">
        <v>9.6304787325286014</v>
      </c>
      <c r="U41" s="1163">
        <v>79778.170199518849</v>
      </c>
      <c r="V41" s="1162">
        <v>14.564314484824202</v>
      </c>
      <c r="W41" s="1162">
        <v>9.8630408780747647</v>
      </c>
      <c r="X41" s="1163">
        <v>83510.235550900659</v>
      </c>
      <c r="Y41" s="1162">
        <v>14.230187225675975</v>
      </c>
      <c r="Z41" s="1162">
        <v>9.1587118144355895</v>
      </c>
      <c r="AA41" s="1163">
        <v>80519.856967586384</v>
      </c>
    </row>
    <row r="42" spans="2:27" ht="39.75" customHeight="1" x14ac:dyDescent="0.25">
      <c r="B42" s="1160"/>
      <c r="C42" s="1164" t="s">
        <v>1149</v>
      </c>
      <c r="D42" s="1162">
        <v>47.719929233999999</v>
      </c>
      <c r="E42" s="1162">
        <v>30.184654474519835</v>
      </c>
      <c r="F42" s="1163">
        <v>211281.83175341293</v>
      </c>
      <c r="G42" s="1162">
        <v>51.481408306999995</v>
      </c>
      <c r="H42" s="1162">
        <v>28.355463827790622</v>
      </c>
      <c r="I42" s="1163">
        <v>200741.90192796188</v>
      </c>
      <c r="J42" s="1162">
        <v>46.119379185000007</v>
      </c>
      <c r="K42" s="1162">
        <v>17.402683649267257</v>
      </c>
      <c r="L42" s="1163">
        <v>127459.79568638475</v>
      </c>
      <c r="M42" s="1162">
        <v>48.557242689999995</v>
      </c>
      <c r="N42" s="1162">
        <v>34.182626967011302</v>
      </c>
      <c r="O42" s="1163">
        <v>255026.39387367977</v>
      </c>
      <c r="P42" s="1162">
        <v>48.134186739999983</v>
      </c>
      <c r="Q42" s="1162">
        <v>45.698485396861102</v>
      </c>
      <c r="R42" s="1163">
        <v>365923.4929252133</v>
      </c>
      <c r="S42" s="1162">
        <v>49.436206027999994</v>
      </c>
      <c r="T42" s="1162">
        <v>38.086907944072678</v>
      </c>
      <c r="U42" s="1163">
        <v>314944.99638267461</v>
      </c>
      <c r="V42" s="1162">
        <v>50.511375678000014</v>
      </c>
      <c r="W42" s="1162">
        <v>34.543742748718671</v>
      </c>
      <c r="X42" s="1163">
        <v>292258.57991469203</v>
      </c>
      <c r="Y42" s="1162">
        <v>47.197228601999988</v>
      </c>
      <c r="Z42" s="1162">
        <v>31.979161852399002</v>
      </c>
      <c r="AA42" s="1163">
        <v>288187.76761041203</v>
      </c>
    </row>
    <row r="43" spans="2:27" ht="39.75" customHeight="1" x14ac:dyDescent="0.25">
      <c r="B43" s="3268" t="s">
        <v>1163</v>
      </c>
      <c r="C43" s="3269"/>
      <c r="D43" s="919">
        <f t="shared" ref="D43:U43" si="3">+D26-D40</f>
        <v>198.75020788093155</v>
      </c>
      <c r="E43" s="919">
        <f t="shared" si="3"/>
        <v>90.019838009485042</v>
      </c>
      <c r="F43" s="1076">
        <f t="shared" si="3"/>
        <v>629151.76287415565</v>
      </c>
      <c r="G43" s="919">
        <f t="shared" si="3"/>
        <v>205.05704012768706</v>
      </c>
      <c r="H43" s="919">
        <f t="shared" si="3"/>
        <v>83.216923419580482</v>
      </c>
      <c r="I43" s="1076">
        <f t="shared" si="3"/>
        <v>588725.02085743682</v>
      </c>
      <c r="J43" s="919">
        <f t="shared" si="3"/>
        <v>182.93982373148617</v>
      </c>
      <c r="K43" s="919">
        <f t="shared" si="3"/>
        <v>55.612107030700585</v>
      </c>
      <c r="L43" s="1076">
        <f t="shared" si="3"/>
        <v>412040.52391360176</v>
      </c>
      <c r="M43" s="919">
        <f t="shared" si="3"/>
        <v>188.64376249915429</v>
      </c>
      <c r="N43" s="919">
        <f t="shared" si="3"/>
        <v>99.892666432992229</v>
      </c>
      <c r="O43" s="1076">
        <f t="shared" si="3"/>
        <v>746295.96653023362</v>
      </c>
      <c r="P43" s="919">
        <f t="shared" si="3"/>
        <v>216.28334880271902</v>
      </c>
      <c r="Q43" s="919">
        <f t="shared" si="3"/>
        <v>127.12019147750567</v>
      </c>
      <c r="R43" s="1076">
        <f t="shared" si="3"/>
        <v>1017497.1459400493</v>
      </c>
      <c r="S43" s="919">
        <f t="shared" si="3"/>
        <v>220.36153802969301</v>
      </c>
      <c r="T43" s="919">
        <f t="shared" si="3"/>
        <v>108.58161093897843</v>
      </c>
      <c r="U43" s="1076">
        <f t="shared" si="3"/>
        <v>900521.25881528051</v>
      </c>
      <c r="V43" s="919">
        <v>229.05229899122472</v>
      </c>
      <c r="W43" s="919">
        <v>116.44047886134767</v>
      </c>
      <c r="X43" s="1076">
        <v>985032.35208146425</v>
      </c>
      <c r="Y43" s="919">
        <v>230.534302182256</v>
      </c>
      <c r="Z43" s="919">
        <v>103.03613726684075</v>
      </c>
      <c r="AA43" s="1076">
        <v>906781.98061935324</v>
      </c>
    </row>
    <row r="44" spans="2:27" ht="39.75" customHeight="1" x14ac:dyDescent="0.25">
      <c r="B44" s="3268" t="s">
        <v>1164</v>
      </c>
      <c r="C44" s="3269"/>
      <c r="D44" s="919">
        <f t="shared" ref="D44:U44" si="4">D40-D23</f>
        <v>27.747408470532662</v>
      </c>
      <c r="E44" s="919">
        <f t="shared" si="4"/>
        <v>21.894833876412676</v>
      </c>
      <c r="F44" s="1076">
        <f t="shared" si="4"/>
        <v>154031.087232213</v>
      </c>
      <c r="G44" s="919">
        <f t="shared" si="4"/>
        <v>21.897625387997216</v>
      </c>
      <c r="H44" s="919">
        <f t="shared" si="4"/>
        <v>18.159269738486685</v>
      </c>
      <c r="I44" s="1076">
        <f t="shared" si="4"/>
        <v>128275.95430189383</v>
      </c>
      <c r="J44" s="919">
        <f t="shared" si="4"/>
        <v>13.521037214004245</v>
      </c>
      <c r="K44" s="919">
        <f t="shared" si="4"/>
        <v>6.6359399157011545</v>
      </c>
      <c r="L44" s="1076">
        <f t="shared" si="4"/>
        <v>47738.045299421807</v>
      </c>
      <c r="M44" s="919">
        <f t="shared" si="4"/>
        <v>23.737859937085169</v>
      </c>
      <c r="N44" s="919">
        <f t="shared" si="4"/>
        <v>20.782486484960305</v>
      </c>
      <c r="O44" s="1076">
        <f t="shared" si="4"/>
        <v>154966.22544105427</v>
      </c>
      <c r="P44" s="919">
        <f t="shared" si="4"/>
        <v>16.417063176106986</v>
      </c>
      <c r="Q44" s="919">
        <f t="shared" si="4"/>
        <v>30.410832633290312</v>
      </c>
      <c r="R44" s="1076">
        <f t="shared" si="4"/>
        <v>242874.67840672101</v>
      </c>
      <c r="S44" s="919">
        <f t="shared" si="4"/>
        <v>13.900041543384901</v>
      </c>
      <c r="T44" s="919">
        <f t="shared" si="4"/>
        <v>24.784818714669093</v>
      </c>
      <c r="U44" s="1076">
        <f t="shared" si="4"/>
        <v>204654.5972834056</v>
      </c>
      <c r="V44" s="919">
        <v>14.172672370824195</v>
      </c>
      <c r="W44" s="919">
        <v>20.733490580771001</v>
      </c>
      <c r="X44" s="1076">
        <v>175585.52438450835</v>
      </c>
      <c r="Y44" s="919">
        <v>15.234371460675987</v>
      </c>
      <c r="Z44" s="919">
        <v>20.343119454166512</v>
      </c>
      <c r="AA44" s="1076">
        <v>185465.87571100891</v>
      </c>
    </row>
    <row r="45" spans="2:27" ht="15.75" customHeight="1" x14ac:dyDescent="0.25">
      <c r="B45" s="3270" t="s">
        <v>2939</v>
      </c>
      <c r="C45" s="3271"/>
      <c r="D45" s="3271"/>
      <c r="E45" s="3271"/>
      <c r="F45" s="3271"/>
      <c r="G45" s="3271"/>
      <c r="H45" s="3271"/>
      <c r="I45" s="3271"/>
      <c r="J45" s="3271"/>
      <c r="K45" s="3271"/>
      <c r="L45" s="3271"/>
      <c r="M45" s="3271"/>
      <c r="N45" s="3271"/>
      <c r="O45" s="3271"/>
      <c r="P45" s="3271"/>
      <c r="Q45" s="3271"/>
      <c r="R45" s="3271"/>
      <c r="S45" s="3271"/>
      <c r="T45" s="3271"/>
      <c r="U45" s="3271"/>
      <c r="V45" s="3271"/>
      <c r="W45" s="3271"/>
      <c r="X45" s="3271"/>
      <c r="Y45" s="3271"/>
      <c r="Z45" s="3271"/>
      <c r="AA45" s="3272"/>
    </row>
    <row r="46" spans="2:27" ht="16.5" x14ac:dyDescent="0.25">
      <c r="B46" s="1173" t="s">
        <v>945</v>
      </c>
      <c r="C46" s="1174"/>
      <c r="D46" s="1175"/>
      <c r="E46" s="1175"/>
      <c r="F46" s="1175"/>
      <c r="G46" s="1175"/>
      <c r="H46" s="1175"/>
      <c r="I46" s="1175"/>
      <c r="J46" s="1175"/>
      <c r="K46" s="1175"/>
      <c r="L46" s="1175"/>
      <c r="M46" s="1176"/>
      <c r="N46" s="1176"/>
      <c r="O46" s="1176"/>
      <c r="P46" s="1175"/>
      <c r="Q46" s="1175"/>
      <c r="R46" s="1175"/>
      <c r="S46" s="1176"/>
      <c r="T46" s="1176"/>
      <c r="U46" s="1176"/>
      <c r="V46" s="1176"/>
      <c r="W46" s="1176"/>
      <c r="X46" s="1176"/>
      <c r="Y46" s="1177"/>
      <c r="Z46" s="1176"/>
      <c r="AA46" s="1178"/>
    </row>
    <row r="47" spans="2:27" ht="15.75" customHeight="1" x14ac:dyDescent="0.25">
      <c r="B47" s="2813" t="s">
        <v>2760</v>
      </c>
      <c r="C47" s="3262"/>
      <c r="D47" s="3262"/>
      <c r="E47" s="3262"/>
      <c r="F47" s="3262"/>
      <c r="G47" s="3262"/>
      <c r="H47" s="3262"/>
      <c r="I47" s="3262"/>
      <c r="J47" s="3262"/>
      <c r="K47" s="3262"/>
      <c r="L47" s="3262"/>
      <c r="M47" s="1176"/>
      <c r="N47" s="1176"/>
      <c r="O47" s="1176"/>
      <c r="P47" s="1179"/>
      <c r="Q47" s="1180"/>
      <c r="R47" s="1180"/>
      <c r="S47" s="1176"/>
      <c r="T47" s="1176"/>
      <c r="U47" s="1176"/>
      <c r="V47" s="1176"/>
      <c r="W47" s="1176"/>
      <c r="X47" s="1176"/>
      <c r="Y47" s="1176"/>
      <c r="Z47" s="1176"/>
      <c r="AA47" s="1178"/>
    </row>
    <row r="48" spans="2:27" ht="15.75" customHeight="1" x14ac:dyDescent="0.25">
      <c r="B48" s="2813" t="s">
        <v>2343</v>
      </c>
      <c r="C48" s="3262"/>
      <c r="D48" s="3262"/>
      <c r="E48" s="3262"/>
      <c r="F48" s="3262"/>
      <c r="G48" s="3262"/>
      <c r="H48" s="3262"/>
      <c r="I48" s="3262"/>
      <c r="J48" s="3262"/>
      <c r="K48" s="3262"/>
      <c r="L48" s="3262"/>
      <c r="M48" s="1176"/>
      <c r="N48" s="1176"/>
      <c r="O48" s="1176"/>
      <c r="P48" s="1176"/>
      <c r="Q48" s="1176"/>
      <c r="R48" s="1176"/>
      <c r="S48" s="1176"/>
      <c r="T48" s="1176"/>
      <c r="U48" s="1176"/>
      <c r="V48" s="1176"/>
      <c r="W48" s="1176"/>
      <c r="X48" s="1176"/>
      <c r="Y48" s="1176"/>
      <c r="Z48" s="1176"/>
      <c r="AA48" s="1178"/>
    </row>
    <row r="49" spans="1:27" ht="15.75" customHeight="1" x14ac:dyDescent="0.25">
      <c r="B49" s="2813" t="s">
        <v>1165</v>
      </c>
      <c r="C49" s="3262"/>
      <c r="D49" s="3262"/>
      <c r="E49" s="3262"/>
      <c r="F49" s="3262"/>
      <c r="G49" s="3262"/>
      <c r="H49" s="3262"/>
      <c r="I49" s="3262"/>
      <c r="J49" s="3262"/>
      <c r="K49" s="3262"/>
      <c r="L49" s="3262"/>
      <c r="M49" s="1176"/>
      <c r="N49" s="1176"/>
      <c r="O49" s="1176"/>
      <c r="P49" s="1176"/>
      <c r="Q49" s="1176"/>
      <c r="R49" s="1176"/>
      <c r="S49" s="1176"/>
      <c r="T49" s="1176"/>
      <c r="U49" s="1176"/>
      <c r="V49" s="1176"/>
      <c r="W49" s="1176"/>
      <c r="X49" s="1176"/>
      <c r="Y49" s="1176"/>
      <c r="Z49" s="1176"/>
      <c r="AA49" s="1178"/>
    </row>
    <row r="50" spans="1:27" ht="15.75" customHeight="1" x14ac:dyDescent="0.25">
      <c r="B50" s="2813" t="s">
        <v>1166</v>
      </c>
      <c r="C50" s="3262"/>
      <c r="D50" s="3262"/>
      <c r="E50" s="3262"/>
      <c r="F50" s="3262"/>
      <c r="G50" s="3262"/>
      <c r="H50" s="3262"/>
      <c r="I50" s="3262"/>
      <c r="J50" s="3262"/>
      <c r="K50" s="3262"/>
      <c r="L50" s="3262"/>
      <c r="M50" s="1181"/>
      <c r="N50" s="1181"/>
      <c r="O50" s="1181"/>
      <c r="P50" s="1181"/>
      <c r="Q50" s="1176"/>
      <c r="R50" s="1176"/>
      <c r="S50" s="1176"/>
      <c r="T50" s="1176"/>
      <c r="U50" s="1176"/>
      <c r="V50" s="1176"/>
      <c r="W50" s="1176"/>
      <c r="X50" s="1176"/>
      <c r="Y50" s="1176"/>
      <c r="Z50" s="1176"/>
      <c r="AA50" s="1178"/>
    </row>
    <row r="51" spans="1:27" ht="15.75" customHeight="1" x14ac:dyDescent="0.25">
      <c r="B51" s="2813" t="s">
        <v>2940</v>
      </c>
      <c r="C51" s="3262"/>
      <c r="D51" s="3262"/>
      <c r="E51" s="3262"/>
      <c r="F51" s="3262"/>
      <c r="G51" s="3262"/>
      <c r="H51" s="3262"/>
      <c r="I51" s="3262"/>
      <c r="J51" s="3262"/>
      <c r="K51" s="3262"/>
      <c r="L51" s="3262"/>
      <c r="M51" s="3262"/>
      <c r="N51" s="3262"/>
      <c r="O51" s="3262"/>
      <c r="P51" s="3262"/>
      <c r="Q51" s="3262"/>
      <c r="R51" s="3262"/>
      <c r="S51" s="3262"/>
      <c r="T51" s="3262"/>
      <c r="U51" s="3262"/>
      <c r="V51" s="3262"/>
      <c r="W51" s="3262"/>
      <c r="X51" s="3262"/>
      <c r="Y51" s="3262"/>
      <c r="Z51" s="3262"/>
      <c r="AA51" s="3263"/>
    </row>
    <row r="52" spans="1:27" ht="15.75" customHeight="1" x14ac:dyDescent="0.25">
      <c r="B52" s="2813" t="s">
        <v>2941</v>
      </c>
      <c r="C52" s="3262"/>
      <c r="D52" s="3262"/>
      <c r="E52" s="3262"/>
      <c r="F52" s="3262"/>
      <c r="G52" s="3262"/>
      <c r="H52" s="3262"/>
      <c r="I52" s="3262"/>
      <c r="J52" s="3262"/>
      <c r="K52" s="3262"/>
      <c r="L52" s="3262"/>
      <c r="M52" s="3262"/>
      <c r="N52" s="3262"/>
      <c r="O52" s="3262"/>
      <c r="P52" s="3262"/>
      <c r="Q52" s="3262"/>
      <c r="R52" s="3262"/>
      <c r="S52" s="3262"/>
      <c r="T52" s="3262"/>
      <c r="U52" s="3262"/>
      <c r="V52" s="3262"/>
      <c r="W52" s="3262"/>
      <c r="X52" s="3262"/>
      <c r="Y52" s="3262"/>
      <c r="Z52" s="3262"/>
      <c r="AA52" s="3263"/>
    </row>
    <row r="53" spans="1:27" ht="16.5" customHeight="1" x14ac:dyDescent="0.25">
      <c r="A53" s="1155"/>
      <c r="B53" s="2813" t="s">
        <v>2942</v>
      </c>
      <c r="C53" s="3262"/>
      <c r="D53" s="3262"/>
      <c r="E53" s="3262"/>
      <c r="F53" s="3262"/>
      <c r="G53" s="3262"/>
      <c r="H53" s="3262"/>
      <c r="I53" s="3262"/>
      <c r="J53" s="3262"/>
      <c r="K53" s="3262"/>
      <c r="L53" s="3262"/>
      <c r="M53" s="3262"/>
      <c r="N53" s="3262"/>
      <c r="O53" s="3262"/>
      <c r="P53" s="3262"/>
      <c r="Q53" s="3262"/>
      <c r="R53" s="3262"/>
      <c r="S53" s="3262"/>
      <c r="T53" s="3262"/>
      <c r="U53" s="3262"/>
      <c r="V53" s="3262"/>
      <c r="W53" s="3262"/>
      <c r="X53" s="3262"/>
      <c r="Y53" s="3262"/>
      <c r="Z53" s="3262"/>
      <c r="AA53" s="3263"/>
    </row>
    <row r="54" spans="1:27" ht="16.5" customHeight="1" thickBot="1" x14ac:dyDescent="0.3">
      <c r="B54" s="3259" t="s">
        <v>2761</v>
      </c>
      <c r="C54" s="3260"/>
      <c r="D54" s="3260"/>
      <c r="E54" s="3260"/>
      <c r="F54" s="3260"/>
      <c r="G54" s="3260"/>
      <c r="H54" s="3260"/>
      <c r="I54" s="3260"/>
      <c r="J54" s="3260"/>
      <c r="K54" s="3260"/>
      <c r="L54" s="3260"/>
      <c r="M54" s="3260"/>
      <c r="N54" s="3260"/>
      <c r="O54" s="3260"/>
      <c r="P54" s="3260"/>
      <c r="Q54" s="3260"/>
      <c r="R54" s="3260"/>
      <c r="S54" s="3260"/>
      <c r="T54" s="3260"/>
      <c r="U54" s="3260"/>
      <c r="V54" s="3260"/>
      <c r="W54" s="3260"/>
      <c r="X54" s="3260"/>
      <c r="Y54" s="3260"/>
      <c r="Z54" s="3260"/>
      <c r="AA54" s="3261"/>
    </row>
    <row r="55" spans="1:27" x14ac:dyDescent="0.25">
      <c r="B55" s="390"/>
    </row>
    <row r="56" spans="1:27" x14ac:dyDescent="0.25">
      <c r="B56" s="390"/>
    </row>
    <row r="57" spans="1:27" x14ac:dyDescent="0.25">
      <c r="B57" s="390"/>
    </row>
    <row r="58" spans="1:27" x14ac:dyDescent="0.25">
      <c r="B58" s="390"/>
    </row>
    <row r="59" spans="1:27" x14ac:dyDescent="0.25">
      <c r="B59" s="390"/>
      <c r="P59" s="463"/>
      <c r="Q59" s="373"/>
      <c r="R59" s="373"/>
    </row>
    <row r="60" spans="1:27" x14ac:dyDescent="0.25">
      <c r="B60" s="390"/>
      <c r="P60" s="463"/>
      <c r="Q60" s="373"/>
      <c r="R60" s="373"/>
    </row>
    <row r="63" spans="1:27" ht="1.5" customHeight="1" x14ac:dyDescent="0.25"/>
  </sheetData>
  <mergeCells count="33">
    <mergeCell ref="B2:AA2"/>
    <mergeCell ref="B3:AA4"/>
    <mergeCell ref="B5:B7"/>
    <mergeCell ref="C5:C7"/>
    <mergeCell ref="D5:F5"/>
    <mergeCell ref="G5:I5"/>
    <mergeCell ref="J5:L5"/>
    <mergeCell ref="M5:O5"/>
    <mergeCell ref="P5:R5"/>
    <mergeCell ref="S5:U5"/>
    <mergeCell ref="B47:L47"/>
    <mergeCell ref="V5:X5"/>
    <mergeCell ref="Y5:AA5"/>
    <mergeCell ref="E6:F6"/>
    <mergeCell ref="H6:I6"/>
    <mergeCell ref="K6:L6"/>
    <mergeCell ref="N6:O6"/>
    <mergeCell ref="Q6:R6"/>
    <mergeCell ref="T6:U6"/>
    <mergeCell ref="W6:X6"/>
    <mergeCell ref="Z6:AA6"/>
    <mergeCell ref="B8:B26"/>
    <mergeCell ref="B27:B40"/>
    <mergeCell ref="B43:C43"/>
    <mergeCell ref="B44:C44"/>
    <mergeCell ref="B45:AA45"/>
    <mergeCell ref="B54:AA54"/>
    <mergeCell ref="B48:L48"/>
    <mergeCell ref="B49:L49"/>
    <mergeCell ref="B50:L50"/>
    <mergeCell ref="B51:AA51"/>
    <mergeCell ref="B52:AA52"/>
    <mergeCell ref="B53:AA53"/>
  </mergeCells>
  <hyperlinks>
    <hyperlink ref="P46:Q46" location="CONTENTS!A1" display="Go back to Contents" xr:uid="{0779A676-12D3-4F01-B676-AF2CE01546D8}"/>
    <hyperlink ref="J46:K46" location="CONTENTS!A1" display="Go back to Contents" xr:uid="{B505E12F-9C21-4A63-B48C-D99CC5A295B9}"/>
    <hyperlink ref="G46:H46" location="CONTENTS!A1" display="Go back to Contents" xr:uid="{C3D5752D-29CB-4C5A-B796-205DB9A5C1F0}"/>
  </hyperlinks>
  <pageMargins left="0.70866141732283472" right="0.70866141732283472" top="0.74803149606299213" bottom="0.74803149606299213" header="0.31496062992125984" footer="0.31496062992125984"/>
  <pageSetup paperSize="9" scale="32" orientation="portrait" horizontalDpi="300" verticalDpi="300"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63EFD1-C0E4-47C1-A7DA-F90CFE104E22}">
  <sheetPr codeName="Sheet51">
    <tabColor theme="0"/>
    <pageSetUpPr fitToPage="1"/>
  </sheetPr>
  <dimension ref="B1:F59"/>
  <sheetViews>
    <sheetView showGridLines="0" view="pageLayout" topLeftCell="B1" zoomScale="50" zoomScaleNormal="100" zoomScalePageLayoutView="50" workbookViewId="0">
      <selection activeCell="B81" sqref="B81"/>
    </sheetView>
  </sheetViews>
  <sheetFormatPr defaultColWidth="9.140625" defaultRowHeight="15.75" x14ac:dyDescent="0.25"/>
  <cols>
    <col min="1" max="1" width="0" style="390" hidden="1" customWidth="1"/>
    <col min="2" max="2" width="25.140625" style="390" customWidth="1"/>
    <col min="3" max="3" width="14.42578125" style="390" customWidth="1"/>
    <col min="4" max="4" width="19.7109375" style="390" customWidth="1"/>
    <col min="5" max="5" width="13.7109375" style="390" customWidth="1"/>
    <col min="6" max="6" width="17.5703125" style="390" bestFit="1" customWidth="1"/>
    <col min="7" max="16384" width="9.140625" style="390"/>
  </cols>
  <sheetData>
    <row r="1" spans="2:6" ht="16.5" x14ac:dyDescent="0.25">
      <c r="B1" s="3283" t="s">
        <v>2240</v>
      </c>
      <c r="C1" s="3283"/>
      <c r="D1" s="3283"/>
      <c r="E1" s="3283"/>
      <c r="F1" s="3283"/>
    </row>
    <row r="2" spans="2:6" ht="16.5" x14ac:dyDescent="0.25">
      <c r="B2" s="464"/>
      <c r="C2" s="464"/>
      <c r="D2" s="464"/>
      <c r="E2" s="464"/>
      <c r="F2" s="464"/>
    </row>
    <row r="3" spans="2:6" ht="16.5" x14ac:dyDescent="0.25">
      <c r="B3" s="3284" t="s">
        <v>298</v>
      </c>
      <c r="C3" s="471" t="s">
        <v>1167</v>
      </c>
      <c r="D3" s="471" t="s">
        <v>1168</v>
      </c>
      <c r="E3" s="471" t="s">
        <v>1169</v>
      </c>
      <c r="F3" s="471" t="s">
        <v>1170</v>
      </c>
    </row>
    <row r="4" spans="2:6" ht="16.5" x14ac:dyDescent="0.25">
      <c r="B4" s="3284"/>
      <c r="C4" s="3283" t="s">
        <v>1171</v>
      </c>
      <c r="D4" s="3283"/>
      <c r="E4" s="3283"/>
      <c r="F4" s="3283"/>
    </row>
    <row r="5" spans="2:6" x14ac:dyDescent="0.25">
      <c r="B5" s="465" t="s">
        <v>1172</v>
      </c>
      <c r="C5" s="466">
        <v>48.405789473684202</v>
      </c>
      <c r="D5" s="466">
        <v>74.835043319838036</v>
      </c>
      <c r="E5" s="466">
        <v>48.071133603238884</v>
      </c>
      <c r="F5" s="466">
        <v>0.39749878542510136</v>
      </c>
    </row>
    <row r="6" spans="2:6" x14ac:dyDescent="0.25">
      <c r="B6" s="467" t="s">
        <v>1173</v>
      </c>
      <c r="C6" s="468">
        <v>45.924362139917719</v>
      </c>
      <c r="D6" s="468">
        <v>77.736701646090552</v>
      </c>
      <c r="E6" s="468">
        <v>54.005473251028796</v>
      </c>
      <c r="F6" s="468">
        <v>0.40712263374485613</v>
      </c>
    </row>
    <row r="7" spans="2:6" x14ac:dyDescent="0.25">
      <c r="B7" s="467" t="s">
        <v>1080</v>
      </c>
      <c r="C7" s="468">
        <v>44.950122448979592</v>
      </c>
      <c r="D7" s="468">
        <v>82.947332653061252</v>
      </c>
      <c r="E7" s="468">
        <v>56.549142857142897</v>
      </c>
      <c r="F7" s="468">
        <v>0.41818693877551005</v>
      </c>
    </row>
    <row r="8" spans="2:6" x14ac:dyDescent="0.25">
      <c r="B8" s="467" t="s">
        <v>1174</v>
      </c>
      <c r="C8" s="468">
        <v>44.282798353909449</v>
      </c>
      <c r="D8" s="468">
        <v>79.020159670781865</v>
      </c>
      <c r="E8" s="468">
        <v>53.884814814814796</v>
      </c>
      <c r="F8" s="468">
        <v>0.39131358024691354</v>
      </c>
    </row>
    <row r="9" spans="2:6" x14ac:dyDescent="0.25">
      <c r="B9" s="469" t="s">
        <v>1082</v>
      </c>
      <c r="C9" s="468">
        <v>45.285655737704921</v>
      </c>
      <c r="D9" s="468">
        <v>85.718442622950803</v>
      </c>
      <c r="E9" s="468">
        <v>58.107909836065559</v>
      </c>
      <c r="F9" s="468">
        <v>0.38798565573770494</v>
      </c>
    </row>
    <row r="10" spans="2:6" x14ac:dyDescent="0.25">
      <c r="B10" s="467" t="s">
        <v>1083</v>
      </c>
      <c r="C10" s="468">
        <v>40.241250000000008</v>
      </c>
      <c r="D10" s="468">
        <v>80.796733870967785</v>
      </c>
      <c r="E10" s="468">
        <v>56.990000000000016</v>
      </c>
      <c r="F10" s="468">
        <v>0.35285766129032281</v>
      </c>
    </row>
    <row r="11" spans="2:6" x14ac:dyDescent="0.25">
      <c r="B11" s="467" t="s">
        <v>1084</v>
      </c>
      <c r="C11" s="468">
        <v>45.913957446808524</v>
      </c>
      <c r="D11" s="468">
        <v>78.454491063829835</v>
      </c>
      <c r="E11" s="468">
        <v>65.142893617021258</v>
      </c>
      <c r="F11" s="468">
        <v>0.46034212765957461</v>
      </c>
    </row>
    <row r="12" spans="2:6" x14ac:dyDescent="0.25">
      <c r="B12" s="467" t="s">
        <v>1085</v>
      </c>
      <c r="C12" s="468">
        <v>47.416108786610877</v>
      </c>
      <c r="D12" s="468">
        <v>75.883499999999998</v>
      </c>
      <c r="E12" s="468">
        <v>67.080669456066914</v>
      </c>
      <c r="F12" s="468">
        <v>0.51122133891213373</v>
      </c>
    </row>
    <row r="13" spans="2:6" x14ac:dyDescent="0.25">
      <c r="B13" s="467" t="s">
        <v>1086</v>
      </c>
      <c r="C13" s="468">
        <v>45.576290322580654</v>
      </c>
      <c r="D13" s="468">
        <v>70.880395564516149</v>
      </c>
      <c r="E13" s="468">
        <v>60.21350806451612</v>
      </c>
      <c r="F13" s="468">
        <v>0.53299395161290353</v>
      </c>
    </row>
    <row r="14" spans="2:6" x14ac:dyDescent="0.25">
      <c r="B14" s="470" t="s">
        <v>1175</v>
      </c>
      <c r="C14" s="468">
        <v>47.95</v>
      </c>
      <c r="D14" s="468">
        <v>76.400000000000006</v>
      </c>
      <c r="E14" s="468">
        <v>65.900000000000006</v>
      </c>
      <c r="F14" s="468">
        <v>0.6081347280334729</v>
      </c>
    </row>
    <row r="15" spans="2:6" ht="14.25" customHeight="1" x14ac:dyDescent="0.25">
      <c r="B15" s="1456" t="s">
        <v>1176</v>
      </c>
      <c r="C15" s="468">
        <v>54.449587136929445</v>
      </c>
      <c r="D15" s="468">
        <v>86.022217012448152</v>
      </c>
      <c r="E15" s="468">
        <v>70.056544398340264</v>
      </c>
      <c r="F15" s="468">
        <v>0.65983692946058103</v>
      </c>
    </row>
    <row r="16" spans="2:6" x14ac:dyDescent="0.25">
      <c r="B16" s="470" t="s">
        <v>1089</v>
      </c>
      <c r="C16" s="468">
        <v>60.5</v>
      </c>
      <c r="D16" s="468">
        <v>96.23</v>
      </c>
      <c r="E16" s="468">
        <v>81.14</v>
      </c>
      <c r="F16" s="468">
        <v>0.60378930041152246</v>
      </c>
    </row>
    <row r="17" spans="2:6" x14ac:dyDescent="0.25">
      <c r="B17" s="470" t="s">
        <v>1177</v>
      </c>
      <c r="C17" s="468">
        <v>61.147086919831231</v>
      </c>
      <c r="D17" s="468">
        <v>98.561359493670864</v>
      </c>
      <c r="E17" s="468">
        <v>77.469651054852278</v>
      </c>
      <c r="F17" s="468">
        <v>0.55788818565400855</v>
      </c>
    </row>
    <row r="18" spans="2:6" x14ac:dyDescent="0.25">
      <c r="B18" s="470" t="s">
        <v>1091</v>
      </c>
      <c r="C18" s="468">
        <v>65.461066804979239</v>
      </c>
      <c r="D18" s="468">
        <v>98.76451867219923</v>
      </c>
      <c r="E18" s="468">
        <v>72.307897095435678</v>
      </c>
      <c r="F18" s="468">
        <v>0.54561493775933623</v>
      </c>
    </row>
    <row r="19" spans="2:6" x14ac:dyDescent="0.25">
      <c r="B19" s="470" t="s">
        <v>1092</v>
      </c>
      <c r="C19" s="468">
        <v>67.08961493775935</v>
      </c>
      <c r="D19" s="468">
        <v>87.713776763485441</v>
      </c>
      <c r="E19" s="468">
        <v>73.606651452282151</v>
      </c>
      <c r="F19" s="468">
        <v>0.62047966804979204</v>
      </c>
    </row>
    <row r="20" spans="2:6" x14ac:dyDescent="0.25">
      <c r="B20" s="470" t="s">
        <v>897</v>
      </c>
      <c r="C20" s="468">
        <v>64.447407468879646</v>
      </c>
      <c r="D20" s="468">
        <v>85.473183402489639</v>
      </c>
      <c r="E20" s="468">
        <v>75.421858091286325</v>
      </c>
      <c r="F20" s="468">
        <v>0.58141535269709521</v>
      </c>
    </row>
    <row r="21" spans="2:6" x14ac:dyDescent="0.25">
      <c r="B21" s="470" t="s">
        <v>7</v>
      </c>
      <c r="C21" s="468">
        <v>69.888884710743795</v>
      </c>
      <c r="D21" s="468">
        <v>91.738390495867776</v>
      </c>
      <c r="E21" s="468">
        <v>80.928754545454552</v>
      </c>
      <c r="F21" s="468">
        <v>0.6303958677685948</v>
      </c>
    </row>
    <row r="22" spans="2:6" x14ac:dyDescent="0.25">
      <c r="B22" s="470" t="s">
        <v>8</v>
      </c>
      <c r="C22" s="468">
        <v>70.88</v>
      </c>
      <c r="D22" s="468">
        <v>90.148037190082619</v>
      </c>
      <c r="E22" s="468">
        <v>78.796827685950404</v>
      </c>
      <c r="F22" s="468">
        <f>65.23/100</f>
        <v>0.65229999999999999</v>
      </c>
    </row>
    <row r="23" spans="2:6" x14ac:dyDescent="0.25">
      <c r="B23" s="470" t="s">
        <v>9</v>
      </c>
      <c r="C23" s="468">
        <v>74.2</v>
      </c>
      <c r="D23" s="468">
        <v>97.06</v>
      </c>
      <c r="E23" s="468">
        <v>86.67</v>
      </c>
      <c r="F23" s="468">
        <v>0.70019999999999993</v>
      </c>
    </row>
    <row r="24" spans="2:6" x14ac:dyDescent="0.25">
      <c r="B24" s="470" t="s">
        <v>77</v>
      </c>
      <c r="C24" s="468">
        <v>74.51204771784225</v>
      </c>
      <c r="D24" s="468">
        <v>101.78248423236515</v>
      </c>
      <c r="E24" s="468">
        <v>86.557524066390016</v>
      </c>
      <c r="F24" s="468">
        <v>0.66339166666666671</v>
      </c>
    </row>
    <row r="25" spans="2:6" x14ac:dyDescent="0.25">
      <c r="B25" s="470" t="s">
        <v>11</v>
      </c>
      <c r="C25" s="468">
        <v>80.391431557377004</v>
      </c>
      <c r="D25" s="468">
        <v>96.827139344262292</v>
      </c>
      <c r="E25" s="468">
        <v>83.723085655737719</v>
      </c>
      <c r="F25" s="468">
        <f>59.4104508196721/100</f>
        <v>0.594104508196721</v>
      </c>
    </row>
    <row r="26" spans="2:6" x14ac:dyDescent="0.25">
      <c r="B26" s="470" t="s">
        <v>382</v>
      </c>
      <c r="C26" s="468">
        <v>82.792145416666671</v>
      </c>
      <c r="D26" s="468">
        <v>104.07259916666661</v>
      </c>
      <c r="E26" s="468">
        <v>89.803693749999951</v>
      </c>
      <c r="F26" s="468">
        <v>0.5736</v>
      </c>
    </row>
    <row r="27" spans="2:6" x14ac:dyDescent="0.25">
      <c r="B27" s="470" t="s">
        <v>2309</v>
      </c>
      <c r="C27" s="468">
        <v>84.569772199170089</v>
      </c>
      <c r="D27" s="468">
        <v>107.88874315352687</v>
      </c>
      <c r="E27" s="468">
        <v>90.76132531120335</v>
      </c>
      <c r="F27" s="468">
        <v>0.55516390041493802</v>
      </c>
    </row>
    <row r="28" spans="2:6" ht="21" customHeight="1" x14ac:dyDescent="0.25">
      <c r="B28" s="1868" t="s">
        <v>2479</v>
      </c>
      <c r="C28" s="1867">
        <v>88.307135833333433</v>
      </c>
      <c r="D28" s="1867">
        <v>118.43590291666665</v>
      </c>
      <c r="E28" s="1867">
        <v>102.46251250000003</v>
      </c>
      <c r="F28" s="1867">
        <v>0.58654208333333335</v>
      </c>
    </row>
    <row r="29" spans="2:6" ht="16.5" x14ac:dyDescent="0.25">
      <c r="B29" s="3285" t="s">
        <v>2848</v>
      </c>
      <c r="C29" s="3285"/>
      <c r="D29" s="3285"/>
      <c r="E29" s="3285"/>
      <c r="F29" s="3285"/>
    </row>
    <row r="30" spans="2:6" x14ac:dyDescent="0.25">
      <c r="B30" s="1421" t="s">
        <v>1178</v>
      </c>
      <c r="C30" s="1484">
        <v>90.799084999999991</v>
      </c>
      <c r="D30" s="1484">
        <v>122.72790999999999</v>
      </c>
      <c r="E30" s="1484">
        <v>106.57852000000003</v>
      </c>
      <c r="F30" s="1484">
        <v>0.57883499999999988</v>
      </c>
    </row>
    <row r="31" spans="2:6" x14ac:dyDescent="0.25">
      <c r="B31" s="1421" t="s">
        <v>1179</v>
      </c>
      <c r="C31" s="1484">
        <v>90.730847368421053</v>
      </c>
      <c r="D31" s="1484">
        <v>123.33721052631577</v>
      </c>
      <c r="E31" s="1484">
        <v>107.35569999999998</v>
      </c>
      <c r="F31" s="1484">
        <v>0.58574736842105257</v>
      </c>
    </row>
    <row r="32" spans="2:6" x14ac:dyDescent="0.25">
      <c r="B32" s="1421" t="s">
        <v>1180</v>
      </c>
      <c r="C32" s="1484">
        <v>92.760799999999975</v>
      </c>
      <c r="D32" s="1484">
        <v>123.8332888888889</v>
      </c>
      <c r="E32" s="1484">
        <v>107.27898888888888</v>
      </c>
      <c r="F32" s="1484">
        <v>0.58492222222222234</v>
      </c>
    </row>
    <row r="33" spans="2:6" x14ac:dyDescent="0.25">
      <c r="B33" s="1421" t="s">
        <v>1181</v>
      </c>
      <c r="C33" s="1484">
        <v>93.550242105263166</v>
      </c>
      <c r="D33" s="1484">
        <v>125.78014210526314</v>
      </c>
      <c r="E33" s="1484">
        <v>109.37329473684208</v>
      </c>
      <c r="F33" s="1484">
        <v>0.58712105263157899</v>
      </c>
    </row>
    <row r="34" spans="2:6" x14ac:dyDescent="0.25">
      <c r="B34" s="2355" t="s">
        <v>2977</v>
      </c>
      <c r="C34" s="1867">
        <v>95.597499999999968</v>
      </c>
      <c r="D34" s="1867">
        <v>128.96207894736844</v>
      </c>
      <c r="E34" s="1867">
        <v>111.65430000000001</v>
      </c>
      <c r="F34" s="1867">
        <v>0.60469473684210495</v>
      </c>
    </row>
    <row r="35" spans="2:6" x14ac:dyDescent="0.25">
      <c r="B35" s="2355" t="s">
        <v>2978</v>
      </c>
      <c r="C35" s="1867">
        <v>94.969547619047646</v>
      </c>
      <c r="D35" s="1867">
        <v>126.70194761904763</v>
      </c>
      <c r="E35" s="1867">
        <v>109.46544761904761</v>
      </c>
      <c r="F35" s="1867">
        <v>0.59109047619047606</v>
      </c>
    </row>
    <row r="36" spans="2:6" x14ac:dyDescent="0.25">
      <c r="B36" s="2356"/>
      <c r="C36" s="2357"/>
      <c r="D36" s="2357"/>
      <c r="E36" s="2357"/>
      <c r="F36" s="2357"/>
    </row>
    <row r="37" spans="2:6" ht="32.25" customHeight="1" x14ac:dyDescent="0.25">
      <c r="B37" s="3286" t="s">
        <v>2290</v>
      </c>
      <c r="C37" s="3286"/>
      <c r="D37" s="3286"/>
      <c r="E37" s="3286"/>
      <c r="F37" s="3286"/>
    </row>
    <row r="38" spans="2:6" ht="16.5" x14ac:dyDescent="0.3">
      <c r="B38" s="390" t="s">
        <v>2291</v>
      </c>
      <c r="C38" s="393"/>
      <c r="D38" s="393"/>
      <c r="E38" s="393"/>
      <c r="F38" s="393"/>
    </row>
    <row r="59" ht="1.5" customHeight="1" x14ac:dyDescent="0.25"/>
  </sheetData>
  <mergeCells count="5">
    <mergeCell ref="B1:F1"/>
    <mergeCell ref="B3:B4"/>
    <mergeCell ref="C4:F4"/>
    <mergeCell ref="B29:F29"/>
    <mergeCell ref="B37:F37"/>
  </mergeCells>
  <phoneticPr fontId="137" type="noConversion"/>
  <pageMargins left="0.70866141732283472" right="0.70866141732283472" top="0.74803149606299213" bottom="0.74803149606299213" header="0.31496062992125984" footer="0.31496062992125984"/>
  <pageSetup paperSize="9" scale="96"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D8E464-375A-44B3-9586-CF8FF10B833D}">
  <sheetPr codeName="Sheet52">
    <tabColor theme="0"/>
    <pageSetUpPr fitToPage="1"/>
  </sheetPr>
  <dimension ref="A1:I83"/>
  <sheetViews>
    <sheetView view="pageLayout" topLeftCell="B3" zoomScale="90" zoomScaleNormal="70" zoomScalePageLayoutView="90" workbookViewId="0">
      <selection activeCell="B81" sqref="B81"/>
    </sheetView>
  </sheetViews>
  <sheetFormatPr defaultColWidth="9.140625" defaultRowHeight="16.5" x14ac:dyDescent="0.3"/>
  <cols>
    <col min="1" max="1" width="0" style="4" hidden="1" customWidth="1"/>
    <col min="2" max="2" width="94" style="390" customWidth="1"/>
    <col min="3" max="16384" width="9.140625" style="390"/>
  </cols>
  <sheetData>
    <row r="1" spans="2:2" x14ac:dyDescent="0.3">
      <c r="B1" s="240" t="s">
        <v>2530</v>
      </c>
    </row>
    <row r="2" spans="2:2" s="390" customFormat="1" x14ac:dyDescent="0.25">
      <c r="B2" s="1374" t="s">
        <v>1375</v>
      </c>
    </row>
    <row r="3" spans="2:2" s="390" customFormat="1" ht="110.25" x14ac:dyDescent="0.25">
      <c r="B3" s="1749" t="s">
        <v>2762</v>
      </c>
    </row>
    <row r="4" spans="2:2" s="390" customFormat="1" ht="47.25" x14ac:dyDescent="0.25">
      <c r="B4" s="1749" t="s">
        <v>2763</v>
      </c>
    </row>
    <row r="5" spans="2:2" s="390" customFormat="1" ht="192.75" x14ac:dyDescent="0.25">
      <c r="B5" s="1749" t="s">
        <v>2840</v>
      </c>
    </row>
    <row r="15" spans="2:2" ht="76.5" customHeight="1" x14ac:dyDescent="0.3">
      <c r="B15" s="1454"/>
    </row>
    <row r="64" ht="1.5" customHeight="1" x14ac:dyDescent="0.3"/>
    <row r="83" spans="9:9" x14ac:dyDescent="0.3">
      <c r="I83" s="880"/>
    </row>
  </sheetData>
  <pageMargins left="0.70866141732283472" right="0.70866141732283472" top="0.74803149606299213" bottom="0.74803149606299213" header="0.31496062992125984" footer="0.31496062992125984"/>
  <pageSetup paperSize="9" scale="92"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88677A6-0621-4609-A7F3-023AD96B22A7}">
  <sheetPr>
    <tabColor theme="0"/>
    <pageSetUpPr fitToPage="1"/>
  </sheetPr>
  <dimension ref="A1:Q58"/>
  <sheetViews>
    <sheetView view="pageLayout" topLeftCell="A26" zoomScale="70" zoomScaleNormal="75" zoomScaleSheetLayoutView="40" zoomScalePageLayoutView="70" workbookViewId="0">
      <selection activeCell="B81" sqref="B81"/>
    </sheetView>
  </sheetViews>
  <sheetFormatPr defaultColWidth="9.140625" defaultRowHeight="15.75" x14ac:dyDescent="0.25"/>
  <cols>
    <col min="1" max="1" width="12.5703125" style="390" customWidth="1"/>
    <col min="2" max="2" width="26.140625" style="390" customWidth="1"/>
    <col min="3" max="3" width="18.85546875" style="390" customWidth="1"/>
    <col min="4" max="4" width="14.28515625" style="390" customWidth="1"/>
    <col min="5" max="5" width="20" style="390" customWidth="1"/>
    <col min="6" max="6" width="22.42578125" style="390" customWidth="1"/>
    <col min="7" max="7" width="21.42578125" style="390" customWidth="1"/>
    <col min="8" max="8" width="25" style="390" hidden="1" customWidth="1"/>
    <col min="9" max="9" width="1.28515625" style="390" hidden="1" customWidth="1"/>
    <col min="10" max="11" width="20.42578125" style="390" customWidth="1"/>
    <col min="12" max="12" width="19.7109375" style="390" customWidth="1"/>
    <col min="13" max="13" width="20.140625" style="390" customWidth="1"/>
    <col min="14" max="14" width="20" style="390" customWidth="1"/>
    <col min="15" max="15" width="18.140625" style="390" customWidth="1"/>
    <col min="16" max="16" width="22" style="390" hidden="1" customWidth="1"/>
    <col min="17" max="17" width="18.28515625" style="390" hidden="1" customWidth="1"/>
    <col min="18" max="16384" width="9.140625" style="390"/>
  </cols>
  <sheetData>
    <row r="1" spans="1:17" hidden="1" x14ac:dyDescent="0.25">
      <c r="A1" s="414" t="s">
        <v>296</v>
      </c>
    </row>
    <row r="2" spans="1:17" hidden="1" x14ac:dyDescent="0.25">
      <c r="A2" s="414"/>
    </row>
    <row r="3" spans="1:17" s="58" customFormat="1" ht="45" customHeight="1" x14ac:dyDescent="0.25">
      <c r="A3" s="3291" t="s">
        <v>1182</v>
      </c>
      <c r="B3" s="2730"/>
      <c r="C3" s="2730"/>
      <c r="D3" s="2730"/>
      <c r="E3" s="2730"/>
      <c r="F3" s="2730"/>
      <c r="G3" s="2730"/>
      <c r="H3" s="2730"/>
      <c r="I3" s="2730"/>
      <c r="J3" s="2730"/>
      <c r="K3" s="2730"/>
      <c r="L3" s="2730"/>
      <c r="M3" s="2730"/>
      <c r="N3" s="2730"/>
      <c r="O3" s="2730"/>
      <c r="P3" s="2730"/>
      <c r="Q3" s="3292"/>
    </row>
    <row r="4" spans="1:17" ht="145.5" customHeight="1" x14ac:dyDescent="0.25">
      <c r="A4" s="1809" t="s">
        <v>1183</v>
      </c>
      <c r="B4" s="1810" t="s">
        <v>1184</v>
      </c>
      <c r="C4" s="1811" t="s">
        <v>1185</v>
      </c>
      <c r="D4" s="1810" t="s">
        <v>1186</v>
      </c>
      <c r="E4" s="1812" t="s">
        <v>2540</v>
      </c>
      <c r="F4" s="1813" t="s">
        <v>1187</v>
      </c>
      <c r="G4" s="1810" t="s">
        <v>1188</v>
      </c>
      <c r="H4" s="1810" t="s">
        <v>1189</v>
      </c>
      <c r="I4" s="1810" t="s">
        <v>1190</v>
      </c>
      <c r="J4" s="1813" t="s">
        <v>2444</v>
      </c>
      <c r="K4" s="1813" t="s">
        <v>2445</v>
      </c>
      <c r="L4" s="1814" t="s">
        <v>2543</v>
      </c>
      <c r="M4" s="1814" t="s">
        <v>2544</v>
      </c>
      <c r="N4" s="1813" t="s">
        <v>2541</v>
      </c>
      <c r="O4" s="1813" t="s">
        <v>2542</v>
      </c>
      <c r="P4" s="1132" t="s">
        <v>1191</v>
      </c>
      <c r="Q4" s="1133" t="s">
        <v>2310</v>
      </c>
    </row>
    <row r="5" spans="1:17" ht="84" x14ac:dyDescent="0.25">
      <c r="A5" s="1815">
        <v>1</v>
      </c>
      <c r="B5" s="1816" t="s">
        <v>1192</v>
      </c>
      <c r="C5" s="1816" t="s">
        <v>1193</v>
      </c>
      <c r="D5" s="1817">
        <v>106.71299999999999</v>
      </c>
      <c r="E5" s="1818">
        <v>2.4279999999999999</v>
      </c>
      <c r="F5" s="1816" t="s">
        <v>1194</v>
      </c>
      <c r="G5" s="1819" t="s">
        <v>1195</v>
      </c>
      <c r="H5" s="1818">
        <v>1.495989</v>
      </c>
      <c r="I5" s="1820">
        <v>0.61614044481054364</v>
      </c>
      <c r="J5" s="1818">
        <v>1.81</v>
      </c>
      <c r="K5" s="1821">
        <v>0.74550000000000005</v>
      </c>
      <c r="L5" s="1818">
        <v>1.57</v>
      </c>
      <c r="M5" s="1821">
        <v>0.64659999999999995</v>
      </c>
      <c r="N5" s="1818">
        <v>1.62</v>
      </c>
      <c r="O5" s="1821">
        <v>0.66559999999999997</v>
      </c>
      <c r="P5" s="1135">
        <v>1.85</v>
      </c>
      <c r="Q5" s="1136">
        <v>76.19</v>
      </c>
    </row>
    <row r="6" spans="1:17" ht="42" x14ac:dyDescent="0.35">
      <c r="A6" s="1822">
        <v>2</v>
      </c>
      <c r="B6" s="1816" t="s">
        <v>1196</v>
      </c>
      <c r="C6" s="1819" t="s">
        <v>1197</v>
      </c>
      <c r="D6" s="1819">
        <v>272</v>
      </c>
      <c r="E6" s="1819">
        <v>4.33</v>
      </c>
      <c r="F6" s="1816" t="s">
        <v>1198</v>
      </c>
      <c r="G6" s="1819" t="s">
        <v>1195</v>
      </c>
      <c r="H6" s="1818">
        <v>1.85</v>
      </c>
      <c r="I6" s="1820">
        <v>0.42725173210161665</v>
      </c>
      <c r="J6" s="1818">
        <v>1.6699649568666666</v>
      </c>
      <c r="K6" s="1821">
        <v>0.38567320020015394</v>
      </c>
      <c r="L6" s="1818">
        <v>1.4089042736813184</v>
      </c>
      <c r="M6" s="1821">
        <v>0.32538204934903425</v>
      </c>
      <c r="N6" s="1818">
        <v>1.4011609608219178</v>
      </c>
      <c r="O6" s="1821">
        <v>0.32359375538612417</v>
      </c>
      <c r="P6" s="1137">
        <v>1.79</v>
      </c>
      <c r="Q6" s="1138">
        <v>41.339491916859124</v>
      </c>
    </row>
    <row r="7" spans="1:17" ht="63" x14ac:dyDescent="0.35">
      <c r="A7" s="1822">
        <v>3</v>
      </c>
      <c r="B7" s="1816" t="s">
        <v>1199</v>
      </c>
      <c r="C7" s="1819" t="s">
        <v>1197</v>
      </c>
      <c r="D7" s="1819">
        <v>919</v>
      </c>
      <c r="E7" s="1819">
        <v>19.37</v>
      </c>
      <c r="F7" s="1816" t="s">
        <v>1200</v>
      </c>
      <c r="G7" s="1819" t="s">
        <v>1195</v>
      </c>
      <c r="H7" s="1818">
        <v>3.83</v>
      </c>
      <c r="I7" s="1820">
        <v>0.23952470293933709</v>
      </c>
      <c r="J7" s="1818">
        <v>3.8956048084018264</v>
      </c>
      <c r="K7" s="1821">
        <v>0.20111537472389396</v>
      </c>
      <c r="L7" s="1818">
        <v>3.1355182906208801</v>
      </c>
      <c r="M7" s="1821">
        <v>0.16187497628398967</v>
      </c>
      <c r="N7" s="1818">
        <v>3.2728658860429025</v>
      </c>
      <c r="O7" s="1821">
        <v>0.16896571430267951</v>
      </c>
      <c r="P7" s="1137">
        <v>3.8250000000000002</v>
      </c>
      <c r="Q7" s="1138">
        <v>23.921200750469044</v>
      </c>
    </row>
    <row r="8" spans="1:17" ht="105" x14ac:dyDescent="0.25">
      <c r="A8" s="1815">
        <v>4</v>
      </c>
      <c r="B8" s="1816" t="s">
        <v>2797</v>
      </c>
      <c r="C8" s="1819" t="s">
        <v>1197</v>
      </c>
      <c r="D8" s="1819">
        <v>604</v>
      </c>
      <c r="E8" s="1819">
        <v>5.0625</v>
      </c>
      <c r="F8" s="1816" t="s">
        <v>1201</v>
      </c>
      <c r="G8" s="1819" t="s">
        <v>1195</v>
      </c>
      <c r="H8" s="1818">
        <v>3.09</v>
      </c>
      <c r="I8" s="1820">
        <v>0.37184115523465699</v>
      </c>
      <c r="J8" s="1818">
        <v>1.1692161257762557</v>
      </c>
      <c r="K8" s="1821">
        <v>0.23095627175827271</v>
      </c>
      <c r="L8" s="1818">
        <v>1.0605471322137681</v>
      </c>
      <c r="M8" s="1821">
        <v>0.20949079154839864</v>
      </c>
      <c r="N8" s="1818">
        <v>1.0947227082667621</v>
      </c>
      <c r="O8" s="1821">
        <v>0.21624152262059498</v>
      </c>
      <c r="P8" s="1137">
        <v>1.145</v>
      </c>
      <c r="Q8" s="1138">
        <v>13.778580024067388</v>
      </c>
    </row>
    <row r="9" spans="1:17" ht="42" x14ac:dyDescent="0.35">
      <c r="A9" s="1822">
        <v>5</v>
      </c>
      <c r="B9" s="1816" t="s">
        <v>1202</v>
      </c>
      <c r="C9" s="1819" t="s">
        <v>1197</v>
      </c>
      <c r="D9" s="1819">
        <v>66</v>
      </c>
      <c r="E9" s="1819">
        <v>2</v>
      </c>
      <c r="F9" s="1819" t="s">
        <v>1203</v>
      </c>
      <c r="G9" s="1819" t="s">
        <v>1195</v>
      </c>
      <c r="H9" s="1818">
        <v>0.99</v>
      </c>
      <c r="I9" s="1820">
        <v>0.495</v>
      </c>
      <c r="J9" s="1818">
        <v>0.69312677987853888</v>
      </c>
      <c r="K9" s="1821">
        <v>0.34656338993926944</v>
      </c>
      <c r="L9" s="1818">
        <v>0.69925850181318672</v>
      </c>
      <c r="M9" s="1821">
        <v>0.34962925090659336</v>
      </c>
      <c r="N9" s="1818">
        <v>0.6714733128767123</v>
      </c>
      <c r="O9" s="1821">
        <v>0.33573665643835615</v>
      </c>
      <c r="P9" s="1137">
        <v>0.77</v>
      </c>
      <c r="Q9" s="1138">
        <v>38.5</v>
      </c>
    </row>
    <row r="10" spans="1:17" ht="84" x14ac:dyDescent="0.25">
      <c r="A10" s="1815">
        <v>6</v>
      </c>
      <c r="B10" s="1816" t="s">
        <v>1204</v>
      </c>
      <c r="C10" s="1816" t="s">
        <v>1197</v>
      </c>
      <c r="D10" s="1816">
        <v>646</v>
      </c>
      <c r="E10" s="1816">
        <v>12</v>
      </c>
      <c r="F10" s="1816" t="s">
        <v>1205</v>
      </c>
      <c r="G10" s="1816" t="s">
        <v>1206</v>
      </c>
      <c r="H10" s="1818">
        <v>3.29</v>
      </c>
      <c r="I10" s="1820">
        <v>0.27416666666666667</v>
      </c>
      <c r="J10" s="1818">
        <v>3.9419392180684936</v>
      </c>
      <c r="K10" s="1821">
        <v>0.32849493483904113</v>
      </c>
      <c r="L10" s="1818">
        <v>5.140555976318681</v>
      </c>
      <c r="M10" s="1821">
        <v>0.42837966469322342</v>
      </c>
      <c r="N10" s="1818">
        <v>4.6514229176867801</v>
      </c>
      <c r="O10" s="1821">
        <v>0.38761857647389836</v>
      </c>
      <c r="P10" s="1137">
        <v>3.88</v>
      </c>
      <c r="Q10" s="1138">
        <v>32.333333333333329</v>
      </c>
    </row>
    <row r="11" spans="1:17" ht="168" x14ac:dyDescent="0.25">
      <c r="A11" s="3293" t="s">
        <v>2446</v>
      </c>
      <c r="B11" s="1816" t="s">
        <v>1207</v>
      </c>
      <c r="C11" s="1819" t="s">
        <v>1197</v>
      </c>
      <c r="D11" s="3296">
        <v>6744</v>
      </c>
      <c r="E11" s="3296">
        <v>107</v>
      </c>
      <c r="F11" s="1816" t="s">
        <v>1208</v>
      </c>
      <c r="G11" s="1819" t="s">
        <v>1195</v>
      </c>
      <c r="H11" s="3298">
        <v>72.540000000000006</v>
      </c>
      <c r="I11" s="3289">
        <v>0.67794392523364488</v>
      </c>
      <c r="J11" s="3298">
        <v>115.867192209737</v>
      </c>
      <c r="K11" s="3301">
        <v>0.70736991581036013</v>
      </c>
      <c r="L11" s="3298">
        <v>109.40938601340108</v>
      </c>
      <c r="M11" s="3301">
        <v>0.66794496955678306</v>
      </c>
      <c r="N11" s="3298">
        <v>110.08974908874525</v>
      </c>
      <c r="O11" s="3301">
        <v>0.67209859028537999</v>
      </c>
      <c r="P11" s="3304">
        <v>119.57</v>
      </c>
      <c r="Q11" s="3307">
        <f>(119.57/163.8)*100</f>
        <v>72.99755799755799</v>
      </c>
    </row>
    <row r="12" spans="1:17" ht="105" x14ac:dyDescent="0.25">
      <c r="A12" s="3294"/>
      <c r="B12" s="1816" t="s">
        <v>1209</v>
      </c>
      <c r="C12" s="1819" t="s">
        <v>1197</v>
      </c>
      <c r="D12" s="3297"/>
      <c r="E12" s="3297"/>
      <c r="F12" s="1816" t="s">
        <v>1210</v>
      </c>
      <c r="G12" s="1819" t="s">
        <v>1195</v>
      </c>
      <c r="H12" s="3299"/>
      <c r="I12" s="3290"/>
      <c r="J12" s="3300"/>
      <c r="K12" s="3302"/>
      <c r="L12" s="3300"/>
      <c r="M12" s="3302"/>
      <c r="N12" s="3300"/>
      <c r="O12" s="3302"/>
      <c r="P12" s="3305"/>
      <c r="Q12" s="3308"/>
    </row>
    <row r="13" spans="1:17" ht="42" x14ac:dyDescent="0.25">
      <c r="A13" s="3294"/>
      <c r="B13" s="1816" t="s">
        <v>1211</v>
      </c>
      <c r="C13" s="1819" t="s">
        <v>1197</v>
      </c>
      <c r="D13" s="1817">
        <v>943</v>
      </c>
      <c r="E13" s="1819">
        <v>19.899999999999999</v>
      </c>
      <c r="F13" s="1816" t="s">
        <v>1212</v>
      </c>
      <c r="G13" s="1819" t="s">
        <v>1195</v>
      </c>
      <c r="H13" s="1818">
        <v>16.329999999999998</v>
      </c>
      <c r="I13" s="1820">
        <v>0.82060301507537681</v>
      </c>
      <c r="J13" s="3300"/>
      <c r="K13" s="3302"/>
      <c r="L13" s="3300"/>
      <c r="M13" s="3302"/>
      <c r="N13" s="3300"/>
      <c r="O13" s="3302"/>
      <c r="P13" s="3305"/>
      <c r="Q13" s="3308"/>
    </row>
    <row r="14" spans="1:17" ht="42" x14ac:dyDescent="0.25">
      <c r="A14" s="3294"/>
      <c r="B14" s="1816" t="s">
        <v>1213</v>
      </c>
      <c r="C14" s="1819" t="s">
        <v>1197</v>
      </c>
      <c r="D14" s="1819">
        <v>125</v>
      </c>
      <c r="E14" s="1819">
        <v>7.04</v>
      </c>
      <c r="F14" s="1819" t="s">
        <v>1214</v>
      </c>
      <c r="G14" s="1819" t="s">
        <v>1195</v>
      </c>
      <c r="H14" s="1818">
        <v>4.4000000000000004</v>
      </c>
      <c r="I14" s="1820">
        <v>0.62535531552018198</v>
      </c>
      <c r="J14" s="3300"/>
      <c r="K14" s="3302"/>
      <c r="L14" s="3300"/>
      <c r="M14" s="3302"/>
      <c r="N14" s="3300"/>
      <c r="O14" s="3302"/>
      <c r="P14" s="3305"/>
      <c r="Q14" s="3308"/>
    </row>
    <row r="15" spans="1:17" ht="78" customHeight="1" x14ac:dyDescent="0.25">
      <c r="A15" s="3294"/>
      <c r="B15" s="1816" t="s">
        <v>2525</v>
      </c>
      <c r="C15" s="1816" t="s">
        <v>1197</v>
      </c>
      <c r="D15" s="1816">
        <v>440</v>
      </c>
      <c r="E15" s="1816">
        <v>35</v>
      </c>
      <c r="F15" s="1816" t="s">
        <v>1215</v>
      </c>
      <c r="G15" s="1819" t="s">
        <v>1195</v>
      </c>
      <c r="H15" s="1818">
        <v>1.74</v>
      </c>
      <c r="I15" s="1820">
        <v>4.9714285714285711E-2</v>
      </c>
      <c r="J15" s="3300"/>
      <c r="K15" s="3302"/>
      <c r="L15" s="3300"/>
      <c r="M15" s="3302"/>
      <c r="N15" s="3300"/>
      <c r="O15" s="3302"/>
      <c r="P15" s="3305"/>
      <c r="Q15" s="3308"/>
    </row>
    <row r="16" spans="1:17" ht="42" x14ac:dyDescent="0.25">
      <c r="A16" s="3294"/>
      <c r="B16" s="1816" t="s">
        <v>1216</v>
      </c>
      <c r="C16" s="1816" t="s">
        <v>1197</v>
      </c>
      <c r="D16" s="1816">
        <v>997</v>
      </c>
      <c r="E16" s="1816">
        <v>31</v>
      </c>
      <c r="F16" s="1816" t="s">
        <v>1217</v>
      </c>
      <c r="G16" s="1819" t="s">
        <v>1195</v>
      </c>
      <c r="H16" s="1818">
        <v>7.51</v>
      </c>
      <c r="I16" s="1820">
        <v>0.24225806451612902</v>
      </c>
      <c r="J16" s="3300"/>
      <c r="K16" s="3302"/>
      <c r="L16" s="3300"/>
      <c r="M16" s="3302"/>
      <c r="N16" s="3300"/>
      <c r="O16" s="3302"/>
      <c r="P16" s="3305"/>
      <c r="Q16" s="3308"/>
    </row>
    <row r="17" spans="1:17" ht="42" x14ac:dyDescent="0.25">
      <c r="A17" s="3294"/>
      <c r="B17" s="1816" t="s">
        <v>1218</v>
      </c>
      <c r="C17" s="1816" t="s">
        <v>1197</v>
      </c>
      <c r="D17" s="1816">
        <v>1182</v>
      </c>
      <c r="E17" s="1816">
        <v>16</v>
      </c>
      <c r="F17" s="1816" t="s">
        <v>1219</v>
      </c>
      <c r="G17" s="1819" t="s">
        <v>1195</v>
      </c>
      <c r="H17" s="1818">
        <v>1.86</v>
      </c>
      <c r="I17" s="1820">
        <v>0.11625000000000001</v>
      </c>
      <c r="J17" s="3300"/>
      <c r="K17" s="3302"/>
      <c r="L17" s="3300"/>
      <c r="M17" s="3302"/>
      <c r="N17" s="3300"/>
      <c r="O17" s="3302"/>
      <c r="P17" s="3305"/>
      <c r="Q17" s="3308"/>
    </row>
    <row r="18" spans="1:17" ht="105" x14ac:dyDescent="0.25">
      <c r="A18" s="3295"/>
      <c r="B18" s="1816" t="s">
        <v>1220</v>
      </c>
      <c r="C18" s="1816" t="s">
        <v>1197</v>
      </c>
      <c r="D18" s="1816">
        <v>3313</v>
      </c>
      <c r="E18" s="1816">
        <v>7.44</v>
      </c>
      <c r="F18" s="1816" t="s">
        <v>1221</v>
      </c>
      <c r="G18" s="1816" t="s">
        <v>2798</v>
      </c>
      <c r="H18" s="1818">
        <v>5.21</v>
      </c>
      <c r="I18" s="1820">
        <v>0.70026881720430101</v>
      </c>
      <c r="J18" s="3299"/>
      <c r="K18" s="3303"/>
      <c r="L18" s="3299"/>
      <c r="M18" s="3303"/>
      <c r="N18" s="3299"/>
      <c r="O18" s="3303"/>
      <c r="P18" s="3306"/>
      <c r="Q18" s="3309"/>
    </row>
    <row r="19" spans="1:17" ht="84" x14ac:dyDescent="0.25">
      <c r="A19" s="1829">
        <v>8</v>
      </c>
      <c r="B19" s="1816" t="s">
        <v>2799</v>
      </c>
      <c r="C19" s="1816" t="s">
        <v>1197</v>
      </c>
      <c r="D19" s="1816">
        <v>1467</v>
      </c>
      <c r="E19" s="1816">
        <v>14.6</v>
      </c>
      <c r="F19" s="1816" t="s">
        <v>2800</v>
      </c>
      <c r="G19" s="1816" t="s">
        <v>2798</v>
      </c>
      <c r="H19" s="1818" t="s">
        <v>18</v>
      </c>
      <c r="I19" s="1820" t="s">
        <v>18</v>
      </c>
      <c r="J19" s="1827" t="s">
        <v>18</v>
      </c>
      <c r="K19" s="1828" t="s">
        <v>18</v>
      </c>
      <c r="L19" s="1826">
        <v>0.12243880900000001</v>
      </c>
      <c r="M19" s="1830">
        <v>8.3862197945205486E-3</v>
      </c>
      <c r="N19" s="1826">
        <v>0.09</v>
      </c>
      <c r="O19" s="1830">
        <v>6.1643835616438354E-3</v>
      </c>
      <c r="P19" s="1135">
        <v>2.75</v>
      </c>
      <c r="Q19" s="1136" t="s">
        <v>18</v>
      </c>
    </row>
    <row r="20" spans="1:17" ht="84" x14ac:dyDescent="0.25">
      <c r="A20" s="1815">
        <v>9</v>
      </c>
      <c r="B20" s="1816" t="s">
        <v>2801</v>
      </c>
      <c r="C20" s="1816" t="s">
        <v>1197</v>
      </c>
      <c r="D20" s="1816">
        <v>469</v>
      </c>
      <c r="E20" s="1816">
        <v>6.65</v>
      </c>
      <c r="F20" s="1816" t="s">
        <v>2800</v>
      </c>
      <c r="G20" s="1816" t="s">
        <v>2798</v>
      </c>
      <c r="H20" s="1831">
        <v>0.74471158939125082</v>
      </c>
      <c r="I20" s="1820">
        <v>0.17731228318839304</v>
      </c>
      <c r="J20" s="1827" t="s">
        <v>18</v>
      </c>
      <c r="K20" s="1828" t="s">
        <v>18</v>
      </c>
      <c r="L20" s="1825">
        <v>0</v>
      </c>
      <c r="M20" s="1832">
        <v>0</v>
      </c>
      <c r="N20" s="1825">
        <v>0</v>
      </c>
      <c r="O20" s="1832">
        <v>0</v>
      </c>
      <c r="P20" s="1135">
        <v>0.59</v>
      </c>
      <c r="Q20" s="1136">
        <v>14.09</v>
      </c>
    </row>
    <row r="21" spans="1:17" ht="42" x14ac:dyDescent="0.35">
      <c r="A21" s="1822">
        <v>10</v>
      </c>
      <c r="B21" s="1816" t="s">
        <v>1222</v>
      </c>
      <c r="C21" s="1816" t="s">
        <v>1197</v>
      </c>
      <c r="D21" s="1816">
        <v>226</v>
      </c>
      <c r="E21" s="1816" t="s">
        <v>18</v>
      </c>
      <c r="F21" s="1816" t="s">
        <v>18</v>
      </c>
      <c r="G21" s="1816" t="s">
        <v>18</v>
      </c>
      <c r="H21" s="1833">
        <v>3.23</v>
      </c>
      <c r="I21" s="1834">
        <v>7.0309098824553773E-2</v>
      </c>
      <c r="J21" s="1824">
        <v>2.7392261202392696</v>
      </c>
      <c r="K21" s="1823"/>
      <c r="L21" s="1826">
        <v>3.1849880272971012</v>
      </c>
      <c r="M21" s="1825"/>
      <c r="N21" s="1826">
        <v>2.9404203495890413</v>
      </c>
      <c r="O21" s="1830" t="s">
        <v>18</v>
      </c>
      <c r="P21" s="1137">
        <v>3.34</v>
      </c>
      <c r="Q21" s="1136">
        <v>7.3</v>
      </c>
    </row>
    <row r="22" spans="1:17" ht="63" x14ac:dyDescent="0.35">
      <c r="A22" s="1822">
        <v>11</v>
      </c>
      <c r="B22" s="1816" t="s">
        <v>2802</v>
      </c>
      <c r="C22" s="1816" t="s">
        <v>1223</v>
      </c>
      <c r="D22" s="1816">
        <v>73.2</v>
      </c>
      <c r="E22" s="1831">
        <v>4.2</v>
      </c>
      <c r="F22" s="1816" t="s">
        <v>1224</v>
      </c>
      <c r="G22" s="1816" t="s">
        <v>1195</v>
      </c>
      <c r="H22" s="1833">
        <v>0.04</v>
      </c>
      <c r="I22" s="1834">
        <v>1.1788977306218685E-3</v>
      </c>
      <c r="J22" s="1818">
        <v>0.61990197423185234</v>
      </c>
      <c r="K22" s="1820">
        <v>0.14759570815044101</v>
      </c>
      <c r="L22" s="1831">
        <v>0.77088114693823295</v>
      </c>
      <c r="M22" s="1835">
        <v>0.18354313022338878</v>
      </c>
      <c r="N22" s="1818">
        <v>0.7551859145950246</v>
      </c>
      <c r="O22" s="1820">
        <v>0.17980617014167252</v>
      </c>
      <c r="P22" s="1137">
        <v>7.7009791246278478E-2</v>
      </c>
      <c r="Q22" s="1136">
        <v>0.2</v>
      </c>
    </row>
    <row r="23" spans="1:17" ht="63" x14ac:dyDescent="0.25">
      <c r="A23" s="1815">
        <v>12</v>
      </c>
      <c r="B23" s="1816" t="s">
        <v>2447</v>
      </c>
      <c r="C23" s="1816" t="s">
        <v>1225</v>
      </c>
      <c r="D23" s="1816">
        <v>1425</v>
      </c>
      <c r="E23" s="1831">
        <v>48.94</v>
      </c>
      <c r="F23" s="1816" t="s">
        <v>2448</v>
      </c>
      <c r="G23" s="1816" t="s">
        <v>2449</v>
      </c>
      <c r="H23" s="1833">
        <v>1.28</v>
      </c>
      <c r="I23" s="1834">
        <v>1.6357827476038339E-2</v>
      </c>
      <c r="J23" s="1818">
        <v>3.6</v>
      </c>
      <c r="K23" s="1820">
        <v>7.8399999999999997E-2</v>
      </c>
      <c r="L23" s="1831">
        <v>5.03</v>
      </c>
      <c r="M23" s="1835">
        <v>0.1027</v>
      </c>
      <c r="N23" s="1818">
        <v>4.7</v>
      </c>
      <c r="O23" s="1820">
        <v>9.6000000000000002E-2</v>
      </c>
      <c r="P23" s="1137">
        <v>2.1800000000000002</v>
      </c>
      <c r="Q23" s="1136">
        <v>2.79</v>
      </c>
    </row>
    <row r="24" spans="1:17" ht="63" x14ac:dyDescent="0.35">
      <c r="A24" s="1822">
        <v>13</v>
      </c>
      <c r="B24" s="1816" t="s">
        <v>2450</v>
      </c>
      <c r="C24" s="1816" t="s">
        <v>1225</v>
      </c>
      <c r="D24" s="1831">
        <v>261.42</v>
      </c>
      <c r="E24" s="1831">
        <v>33.93</v>
      </c>
      <c r="F24" s="1816" t="s">
        <v>1226</v>
      </c>
      <c r="G24" s="1816" t="s">
        <v>2449</v>
      </c>
      <c r="H24" s="3287">
        <v>27</v>
      </c>
      <c r="I24" s="3289">
        <v>0.62790697674418605</v>
      </c>
      <c r="J24" s="1818">
        <v>0.08</v>
      </c>
      <c r="K24" s="1820">
        <v>2.3999999999999998E-3</v>
      </c>
      <c r="L24" s="1831">
        <v>0.11</v>
      </c>
      <c r="M24" s="1835">
        <v>3.2000000000000002E-3</v>
      </c>
      <c r="N24" s="1818">
        <v>0.1</v>
      </c>
      <c r="O24" s="1820">
        <v>2.8999999999999998E-3</v>
      </c>
      <c r="P24" s="1137">
        <v>27.168346447376653</v>
      </c>
      <c r="Q24" s="1136">
        <v>75.47</v>
      </c>
    </row>
    <row r="25" spans="1:17" ht="63" x14ac:dyDescent="0.35">
      <c r="A25" s="1822">
        <v>14</v>
      </c>
      <c r="B25" s="1816" t="s">
        <v>2451</v>
      </c>
      <c r="C25" s="1816" t="s">
        <v>1227</v>
      </c>
      <c r="D25" s="1816">
        <v>2042</v>
      </c>
      <c r="E25" s="1831">
        <v>78.25</v>
      </c>
      <c r="F25" s="1816" t="s">
        <v>1228</v>
      </c>
      <c r="G25" s="1816" t="s">
        <v>2452</v>
      </c>
      <c r="H25" s="3288"/>
      <c r="I25" s="3290"/>
      <c r="J25" s="1818">
        <v>1.96</v>
      </c>
      <c r="K25" s="1820">
        <v>2.5000000000000001E-2</v>
      </c>
      <c r="L25" s="1831">
        <v>2.0499999999999998</v>
      </c>
      <c r="M25" s="1835">
        <v>2.6200000000000001E-2</v>
      </c>
      <c r="N25" s="1818">
        <v>1.49</v>
      </c>
      <c r="O25" s="1820">
        <v>1.9E-2</v>
      </c>
      <c r="P25" s="1137">
        <v>5.8498494747866214</v>
      </c>
      <c r="Q25" s="1136">
        <v>48.75</v>
      </c>
    </row>
    <row r="26" spans="1:17" ht="63" x14ac:dyDescent="0.25">
      <c r="A26" s="1815">
        <v>15</v>
      </c>
      <c r="B26" s="1816" t="s">
        <v>1229</v>
      </c>
      <c r="C26" s="1819" t="s">
        <v>1230</v>
      </c>
      <c r="D26" s="1819">
        <v>2748.38</v>
      </c>
      <c r="E26" s="1817">
        <v>36</v>
      </c>
      <c r="F26" s="1816" t="s">
        <v>1231</v>
      </c>
      <c r="G26" s="1819" t="s">
        <v>1195</v>
      </c>
      <c r="H26" s="1831">
        <v>4.37</v>
      </c>
      <c r="I26" s="1820">
        <v>0.46039999999999998</v>
      </c>
      <c r="J26" s="1818">
        <v>24.55</v>
      </c>
      <c r="K26" s="1820">
        <v>0.68200000000000005</v>
      </c>
      <c r="L26" s="1818">
        <v>21.49</v>
      </c>
      <c r="M26" s="1820">
        <v>0.59699999999999998</v>
      </c>
      <c r="N26" s="1818">
        <v>22.38</v>
      </c>
      <c r="O26" s="1820">
        <v>0.62150000000000005</v>
      </c>
      <c r="P26" s="1135">
        <v>5.7</v>
      </c>
      <c r="Q26" s="1136">
        <v>62</v>
      </c>
    </row>
    <row r="27" spans="1:17" ht="42" x14ac:dyDescent="0.35">
      <c r="A27" s="1822">
        <v>16</v>
      </c>
      <c r="B27" s="1816" t="s">
        <v>1232</v>
      </c>
      <c r="C27" s="1819" t="s">
        <v>1230</v>
      </c>
      <c r="D27" s="1819">
        <v>57.6</v>
      </c>
      <c r="E27" s="1817">
        <v>12</v>
      </c>
      <c r="F27" s="1819" t="s">
        <v>1233</v>
      </c>
      <c r="G27" s="1819" t="s">
        <v>1195</v>
      </c>
      <c r="H27" s="1831">
        <v>3.24</v>
      </c>
      <c r="I27" s="1820" t="s">
        <v>1238</v>
      </c>
      <c r="J27" s="1818">
        <v>5.67</v>
      </c>
      <c r="K27" s="1820">
        <v>0.47260000000000002</v>
      </c>
      <c r="L27" s="1818">
        <v>5.49</v>
      </c>
      <c r="M27" s="1820">
        <v>0.45779999999999998</v>
      </c>
      <c r="N27" s="1818">
        <v>5.65</v>
      </c>
      <c r="O27" s="1820">
        <v>0.47110000000000002</v>
      </c>
      <c r="P27" s="1135">
        <v>4.75</v>
      </c>
      <c r="Q27" s="1136">
        <v>14</v>
      </c>
    </row>
    <row r="28" spans="1:17" ht="21" x14ac:dyDescent="0.35">
      <c r="A28" s="1822">
        <v>17</v>
      </c>
      <c r="B28" s="1816" t="s">
        <v>1234</v>
      </c>
      <c r="C28" s="1816" t="s">
        <v>1112</v>
      </c>
      <c r="D28" s="1816" t="s">
        <v>2803</v>
      </c>
      <c r="E28" s="1831" t="s">
        <v>2804</v>
      </c>
      <c r="F28" s="1816" t="s">
        <v>1235</v>
      </c>
      <c r="G28" s="1816" t="s">
        <v>1195</v>
      </c>
      <c r="H28" s="1831">
        <v>1.05</v>
      </c>
      <c r="I28" s="1820">
        <v>0.2014</v>
      </c>
      <c r="J28" s="1818" t="s">
        <v>2807</v>
      </c>
      <c r="K28" s="1836" t="s">
        <v>2808</v>
      </c>
      <c r="L28" s="1831" t="s">
        <v>2793</v>
      </c>
      <c r="M28" s="1837" t="s">
        <v>2794</v>
      </c>
      <c r="N28" s="1818" t="s">
        <v>2795</v>
      </c>
      <c r="O28" s="1836" t="s">
        <v>2796</v>
      </c>
      <c r="P28" s="1135">
        <v>2.64</v>
      </c>
      <c r="Q28" s="1136">
        <v>52</v>
      </c>
    </row>
    <row r="29" spans="1:17" ht="147" x14ac:dyDescent="0.25">
      <c r="A29" s="1815">
        <v>18</v>
      </c>
      <c r="B29" s="1816" t="s">
        <v>1236</v>
      </c>
      <c r="C29" s="1816" t="s">
        <v>1112</v>
      </c>
      <c r="D29" s="1816">
        <v>1094</v>
      </c>
      <c r="E29" s="1831">
        <v>34.67</v>
      </c>
      <c r="F29" s="1816" t="s">
        <v>1237</v>
      </c>
      <c r="G29" s="1816" t="s">
        <v>2361</v>
      </c>
      <c r="H29" s="1831">
        <v>2.8069999999999999</v>
      </c>
      <c r="I29" s="1820">
        <v>0.46783333333333332</v>
      </c>
      <c r="J29" s="1818">
        <v>5.19</v>
      </c>
      <c r="K29" s="1820">
        <v>0.16</v>
      </c>
      <c r="L29" s="1831">
        <v>5.29</v>
      </c>
      <c r="M29" s="1835">
        <v>0.16</v>
      </c>
      <c r="N29" s="1818">
        <v>5.28</v>
      </c>
      <c r="O29" s="1820">
        <v>0.16</v>
      </c>
      <c r="P29" s="1135">
        <v>3.2770000000000001</v>
      </c>
      <c r="Q29" s="1136">
        <v>54.61</v>
      </c>
    </row>
    <row r="30" spans="1:17" ht="21" x14ac:dyDescent="0.35">
      <c r="A30" s="1822">
        <v>19</v>
      </c>
      <c r="B30" s="1816" t="s">
        <v>1239</v>
      </c>
      <c r="C30" s="1816" t="s">
        <v>1112</v>
      </c>
      <c r="D30" s="1816">
        <v>106</v>
      </c>
      <c r="E30" s="1831">
        <v>5.23</v>
      </c>
      <c r="F30" s="1816" t="s">
        <v>1240</v>
      </c>
      <c r="G30" s="1816" t="s">
        <v>2805</v>
      </c>
      <c r="H30" s="1831">
        <v>23.68</v>
      </c>
      <c r="I30" s="1820">
        <v>0.27858823529411764</v>
      </c>
      <c r="J30" s="1818">
        <v>2.1800000000000002</v>
      </c>
      <c r="K30" s="1820">
        <v>0.43</v>
      </c>
      <c r="L30" s="1831">
        <v>1.45</v>
      </c>
      <c r="M30" s="1835">
        <v>0.28999999999999998</v>
      </c>
      <c r="N30" s="1818">
        <v>1.17</v>
      </c>
      <c r="O30" s="1820">
        <v>0.23</v>
      </c>
      <c r="P30" s="1139">
        <v>35.51</v>
      </c>
      <c r="Q30" s="1140">
        <v>41.78</v>
      </c>
    </row>
    <row r="31" spans="1:17" ht="21" x14ac:dyDescent="0.35">
      <c r="A31" s="1822">
        <v>20</v>
      </c>
      <c r="B31" s="1816" t="s">
        <v>1241</v>
      </c>
      <c r="C31" s="1816" t="s">
        <v>243</v>
      </c>
      <c r="D31" s="1816">
        <v>24</v>
      </c>
      <c r="E31" s="1831">
        <v>6</v>
      </c>
      <c r="F31" s="1816" t="s">
        <v>1242</v>
      </c>
      <c r="G31" s="1816" t="s">
        <v>1195</v>
      </c>
      <c r="H31" s="1831"/>
      <c r="I31" s="1820"/>
      <c r="J31" s="1818">
        <v>3.4067745726027399</v>
      </c>
      <c r="K31" s="1820">
        <v>0.56779576210045668</v>
      </c>
      <c r="L31" s="1831">
        <v>3.3570945109890107</v>
      </c>
      <c r="M31" s="1835">
        <v>0.55951575183150182</v>
      </c>
      <c r="N31" s="1818">
        <v>3.3</v>
      </c>
      <c r="O31" s="1820">
        <v>0.54999999999999993</v>
      </c>
      <c r="P31" s="1139"/>
      <c r="Q31" s="1140"/>
    </row>
    <row r="32" spans="1:17" ht="105" x14ac:dyDescent="0.35">
      <c r="A32" s="1822">
        <v>21</v>
      </c>
      <c r="B32" s="1816" t="s">
        <v>2806</v>
      </c>
      <c r="C32" s="1816" t="s">
        <v>1243</v>
      </c>
      <c r="D32" s="1816">
        <v>1485</v>
      </c>
      <c r="E32" s="1831">
        <v>85</v>
      </c>
      <c r="F32" s="1816" t="s">
        <v>1244</v>
      </c>
      <c r="G32" s="1816" t="s">
        <v>1195</v>
      </c>
      <c r="H32" s="1831"/>
      <c r="I32" s="1820"/>
      <c r="J32" s="1818">
        <v>35.450000000000003</v>
      </c>
      <c r="K32" s="1820">
        <v>0.41699999999999998</v>
      </c>
      <c r="L32" s="1831">
        <v>34.450000000000003</v>
      </c>
      <c r="M32" s="1835">
        <v>0.40500000000000003</v>
      </c>
      <c r="N32" s="1818">
        <v>34.409999999999997</v>
      </c>
      <c r="O32" s="1820">
        <v>0.40479999999999999</v>
      </c>
      <c r="P32" s="1139"/>
      <c r="Q32" s="1140"/>
    </row>
    <row r="33" spans="1:17" ht="21" x14ac:dyDescent="0.25">
      <c r="A33" s="1815">
        <v>22</v>
      </c>
      <c r="B33" s="1816" t="s">
        <v>1245</v>
      </c>
      <c r="C33" s="1816" t="s">
        <v>1246</v>
      </c>
      <c r="D33" s="1816">
        <v>304</v>
      </c>
      <c r="E33" s="1831">
        <v>3.5</v>
      </c>
      <c r="F33" s="1816" t="s">
        <v>1240</v>
      </c>
      <c r="G33" s="1816" t="s">
        <v>1195</v>
      </c>
      <c r="H33" s="1831">
        <v>0.64623169999999996</v>
      </c>
      <c r="I33" s="1820">
        <v>0.18463762857142901</v>
      </c>
      <c r="J33" s="1818">
        <v>0.74297258226016771</v>
      </c>
      <c r="K33" s="1820">
        <v>0.2122778806457622</v>
      </c>
      <c r="L33" s="1831">
        <v>0.83415826912087943</v>
      </c>
      <c r="M33" s="1835">
        <v>0.23833093403453698</v>
      </c>
      <c r="N33" s="1818">
        <v>0.82126900654219204</v>
      </c>
      <c r="O33" s="1820">
        <v>0.23464828758348344</v>
      </c>
      <c r="P33" s="1139">
        <v>0.7</v>
      </c>
      <c r="Q33" s="1140">
        <v>19.899999999999999</v>
      </c>
    </row>
    <row r="34" spans="1:17" ht="18.75" x14ac:dyDescent="0.3">
      <c r="A34" s="1144" t="s">
        <v>2453</v>
      </c>
      <c r="B34" s="1143"/>
      <c r="C34" s="1143"/>
      <c r="D34" s="1143"/>
      <c r="E34" s="1143"/>
      <c r="F34" s="1143"/>
      <c r="G34" s="1143"/>
      <c r="H34" s="1143"/>
      <c r="I34" s="1143"/>
      <c r="J34" s="1143"/>
      <c r="K34" s="1143"/>
      <c r="L34" s="1143"/>
      <c r="M34" s="1143"/>
      <c r="N34" s="1143"/>
      <c r="O34" s="1292"/>
      <c r="Q34" s="399"/>
    </row>
    <row r="35" spans="1:17" ht="18.75" x14ac:dyDescent="0.3">
      <c r="A35" s="1838" t="s">
        <v>1197</v>
      </c>
      <c r="B35" s="1839"/>
      <c r="C35" s="1839"/>
      <c r="D35" s="1839"/>
      <c r="E35" s="1839"/>
      <c r="F35" s="1839"/>
      <c r="G35" s="1839"/>
      <c r="H35" s="1839"/>
      <c r="I35" s="1839"/>
      <c r="J35" s="1839"/>
      <c r="K35" s="1143"/>
      <c r="L35" s="1143"/>
      <c r="M35" s="1143"/>
      <c r="N35" s="1143"/>
      <c r="O35" s="1292"/>
      <c r="Q35" s="399"/>
    </row>
    <row r="36" spans="1:17" ht="18.75" customHeight="1" x14ac:dyDescent="0.3">
      <c r="A36" s="1723" t="s">
        <v>1247</v>
      </c>
      <c r="B36" s="1840"/>
      <c r="C36" s="1840"/>
      <c r="D36" s="1840"/>
      <c r="E36" s="1840"/>
      <c r="F36" s="1840"/>
      <c r="G36" s="1840"/>
      <c r="H36" s="1839"/>
      <c r="I36" s="1839"/>
      <c r="J36" s="1839"/>
      <c r="K36" s="1143"/>
      <c r="L36" s="1143"/>
      <c r="M36" s="1143"/>
      <c r="N36" s="1143"/>
      <c r="O36" s="1292"/>
      <c r="Q36" s="399"/>
    </row>
    <row r="37" spans="1:17" ht="18.75" customHeight="1" x14ac:dyDescent="0.3">
      <c r="A37" s="1723" t="s">
        <v>2371</v>
      </c>
      <c r="B37" s="1840"/>
      <c r="C37" s="1840"/>
      <c r="D37" s="1840"/>
      <c r="E37" s="1840"/>
      <c r="F37" s="1840"/>
      <c r="G37" s="1840"/>
      <c r="H37" s="1839"/>
      <c r="I37" s="1839"/>
      <c r="J37" s="1839"/>
      <c r="K37" s="1143"/>
      <c r="L37" s="1143"/>
      <c r="M37" s="1143"/>
      <c r="N37" s="1143"/>
      <c r="O37" s="1292"/>
      <c r="Q37" s="399"/>
    </row>
    <row r="38" spans="1:17" ht="18.75" customHeight="1" x14ac:dyDescent="0.3">
      <c r="A38" s="1723" t="s">
        <v>2809</v>
      </c>
      <c r="B38" s="1840"/>
      <c r="C38" s="1840"/>
      <c r="D38" s="1840"/>
      <c r="E38" s="1840"/>
      <c r="F38" s="1840"/>
      <c r="G38" s="1840"/>
      <c r="H38" s="1839"/>
      <c r="I38" s="1839"/>
      <c r="J38" s="1839"/>
      <c r="K38" s="1143"/>
      <c r="L38" s="1143"/>
      <c r="M38" s="1143"/>
      <c r="N38" s="1143"/>
      <c r="O38" s="1292"/>
      <c r="Q38" s="399"/>
    </row>
    <row r="39" spans="1:17" ht="37.9" customHeight="1" x14ac:dyDescent="0.3">
      <c r="A39" s="1723" t="s">
        <v>1248</v>
      </c>
      <c r="B39" s="1840"/>
      <c r="C39" s="1840"/>
      <c r="D39" s="1840"/>
      <c r="E39" s="1840"/>
      <c r="F39" s="1840"/>
      <c r="G39" s="1840"/>
      <c r="H39" s="1839"/>
      <c r="I39" s="1839"/>
      <c r="J39" s="1839"/>
      <c r="K39" s="1143"/>
      <c r="L39" s="1143"/>
      <c r="M39" s="1143"/>
      <c r="N39" s="1143"/>
      <c r="O39" s="1292"/>
      <c r="Q39" s="399"/>
    </row>
    <row r="40" spans="1:17" ht="24" customHeight="1" x14ac:dyDescent="0.3">
      <c r="A40" s="1723" t="s">
        <v>2810</v>
      </c>
      <c r="B40" s="1840"/>
      <c r="C40" s="1840"/>
      <c r="D40" s="1840"/>
      <c r="E40" s="1840"/>
      <c r="F40" s="1840"/>
      <c r="G40" s="1840"/>
      <c r="H40" s="1839"/>
      <c r="I40" s="1839"/>
      <c r="J40" s="1839"/>
      <c r="K40" s="1143"/>
      <c r="L40" s="1143"/>
      <c r="M40" s="1143"/>
      <c r="N40" s="1143"/>
      <c r="O40" s="1292"/>
      <c r="Q40" s="399"/>
    </row>
    <row r="41" spans="1:17" ht="18.75" x14ac:dyDescent="0.3">
      <c r="A41" s="1838" t="s">
        <v>1223</v>
      </c>
      <c r="B41" s="1840"/>
      <c r="C41" s="1840"/>
      <c r="D41" s="1840"/>
      <c r="E41" s="1840"/>
      <c r="F41" s="1840"/>
      <c r="G41" s="1840"/>
      <c r="H41" s="1839"/>
      <c r="I41" s="1839"/>
      <c r="J41" s="1839"/>
      <c r="K41" s="1143"/>
      <c r="L41" s="1143"/>
      <c r="M41" s="1143"/>
      <c r="N41" s="1143"/>
      <c r="O41" s="1292"/>
      <c r="Q41" s="399"/>
    </row>
    <row r="42" spans="1:17" ht="18.75" x14ac:dyDescent="0.3">
      <c r="A42" s="1723" t="s">
        <v>2811</v>
      </c>
      <c r="B42" s="1839"/>
      <c r="C42" s="1839"/>
      <c r="D42" s="1839"/>
      <c r="E42" s="1839"/>
      <c r="F42" s="1839"/>
      <c r="G42" s="1839"/>
      <c r="H42" s="1839"/>
      <c r="I42" s="1839"/>
      <c r="J42" s="1839"/>
      <c r="K42" s="1143"/>
      <c r="L42" s="1143"/>
      <c r="M42" s="1143"/>
      <c r="N42" s="1143"/>
      <c r="O42" s="1292"/>
      <c r="Q42" s="399"/>
    </row>
    <row r="43" spans="1:17" ht="20.25" x14ac:dyDescent="0.25">
      <c r="A43" s="1838" t="s">
        <v>1227</v>
      </c>
      <c r="B43" s="1839"/>
      <c r="C43" s="1839"/>
      <c r="D43" s="1839"/>
      <c r="E43" s="1839"/>
      <c r="F43" s="1839"/>
      <c r="G43" s="1839"/>
      <c r="H43" s="1839"/>
      <c r="I43" s="1839"/>
      <c r="J43" s="1839"/>
      <c r="K43" s="1841"/>
      <c r="L43" s="1842"/>
      <c r="M43" s="1842"/>
      <c r="N43" s="1842"/>
      <c r="O43" s="1292"/>
      <c r="Q43" s="399"/>
    </row>
    <row r="44" spans="1:17" ht="18.75" x14ac:dyDescent="0.3">
      <c r="A44" s="1723" t="s">
        <v>2812</v>
      </c>
      <c r="B44" s="1839"/>
      <c r="C44" s="1839"/>
      <c r="D44" s="1839"/>
      <c r="E44" s="1839"/>
      <c r="F44" s="1839"/>
      <c r="G44" s="1839"/>
      <c r="H44" s="1839"/>
      <c r="I44" s="1839"/>
      <c r="J44" s="1839"/>
      <c r="K44" s="1843"/>
      <c r="L44" s="1143"/>
      <c r="M44" s="1143"/>
      <c r="N44" s="1143"/>
      <c r="O44" s="1292"/>
      <c r="Q44" s="399"/>
    </row>
    <row r="45" spans="1:17" ht="18.75" x14ac:dyDescent="0.3">
      <c r="A45" s="1838" t="s">
        <v>1254</v>
      </c>
      <c r="B45" s="1839"/>
      <c r="C45" s="1839"/>
      <c r="D45" s="1839"/>
      <c r="E45" s="1839"/>
      <c r="F45" s="1839"/>
      <c r="G45" s="1839"/>
      <c r="H45" s="1839"/>
      <c r="I45" s="1839"/>
      <c r="J45" s="1839"/>
      <c r="K45" s="1143"/>
      <c r="L45" s="1143"/>
      <c r="M45" s="1143"/>
      <c r="N45" s="1143"/>
      <c r="O45" s="1292"/>
      <c r="Q45" s="399"/>
    </row>
    <row r="46" spans="1:17" ht="18.75" x14ac:dyDescent="0.3">
      <c r="A46" s="1723" t="s">
        <v>2813</v>
      </c>
      <c r="B46" s="1839"/>
      <c r="C46" s="1839"/>
      <c r="D46" s="1839"/>
      <c r="E46" s="1839"/>
      <c r="F46" s="1839"/>
      <c r="G46" s="1839"/>
      <c r="H46" s="1839"/>
      <c r="I46" s="1839"/>
      <c r="J46" s="1839"/>
      <c r="K46" s="1143"/>
      <c r="L46" s="1143"/>
      <c r="M46" s="1143"/>
      <c r="N46" s="1143"/>
      <c r="O46" s="1292"/>
      <c r="Q46" s="399"/>
    </row>
    <row r="47" spans="1:17" ht="18.75" x14ac:dyDescent="0.3">
      <c r="A47" s="1723" t="s">
        <v>2814</v>
      </c>
      <c r="B47" s="1839"/>
      <c r="C47" s="1839"/>
      <c r="D47" s="1839"/>
      <c r="E47" s="1839"/>
      <c r="F47" s="1839"/>
      <c r="G47" s="1839"/>
      <c r="H47" s="1839"/>
      <c r="I47" s="1839"/>
      <c r="J47" s="1839"/>
      <c r="K47" s="1143"/>
      <c r="L47" s="1143"/>
      <c r="M47" s="1143"/>
      <c r="N47" s="1143"/>
      <c r="O47" s="1292"/>
      <c r="Q47" s="399"/>
    </row>
    <row r="48" spans="1:17" ht="18.75" x14ac:dyDescent="0.3">
      <c r="A48" s="1141"/>
      <c r="B48" s="1142"/>
      <c r="C48" s="1142"/>
      <c r="D48" s="1142"/>
      <c r="E48" s="592"/>
      <c r="F48" s="592"/>
      <c r="G48" s="592"/>
      <c r="H48" s="592"/>
      <c r="I48" s="592"/>
      <c r="J48" s="592"/>
      <c r="K48" s="592"/>
      <c r="L48" s="592"/>
      <c r="M48" s="592"/>
      <c r="N48" s="592"/>
      <c r="Q48" s="399"/>
    </row>
    <row r="49" spans="1:17" ht="18.75" x14ac:dyDescent="0.3">
      <c r="A49" s="1141"/>
      <c r="B49" s="1142"/>
      <c r="C49" s="1142"/>
      <c r="D49" s="1142"/>
      <c r="E49" s="592"/>
      <c r="F49" s="592"/>
      <c r="G49" s="592"/>
      <c r="H49" s="592"/>
      <c r="I49" s="592"/>
      <c r="J49" s="592"/>
      <c r="K49" s="592"/>
      <c r="L49" s="592"/>
      <c r="M49" s="592"/>
      <c r="N49" s="592"/>
      <c r="Q49" s="399"/>
    </row>
    <row r="50" spans="1:17" ht="18.75" x14ac:dyDescent="0.3">
      <c r="A50" s="1141"/>
      <c r="B50" s="1142"/>
      <c r="C50" s="1142"/>
      <c r="D50" s="1142"/>
      <c r="E50" s="592"/>
      <c r="F50" s="592"/>
      <c r="G50" s="592"/>
      <c r="H50" s="592"/>
      <c r="I50" s="592"/>
      <c r="J50" s="592"/>
      <c r="K50" s="592"/>
      <c r="L50" s="592"/>
      <c r="M50" s="592"/>
      <c r="N50" s="592"/>
      <c r="Q50" s="399"/>
    </row>
    <row r="51" spans="1:17" ht="18.75" x14ac:dyDescent="0.3">
      <c r="A51" s="1141"/>
      <c r="B51" s="1142"/>
      <c r="C51" s="1142"/>
      <c r="D51" s="1142"/>
      <c r="E51" s="592"/>
      <c r="F51" s="592"/>
      <c r="G51" s="592"/>
      <c r="H51" s="592"/>
      <c r="I51" s="592"/>
      <c r="J51" s="592"/>
      <c r="K51" s="592"/>
      <c r="L51" s="592"/>
      <c r="M51" s="592"/>
      <c r="N51" s="592"/>
      <c r="Q51" s="399"/>
    </row>
    <row r="52" spans="1:17" ht="18.75" x14ac:dyDescent="0.3">
      <c r="A52" s="1141"/>
      <c r="B52" s="1142"/>
      <c r="C52" s="1142"/>
      <c r="D52" s="1142"/>
      <c r="E52" s="592"/>
      <c r="F52" s="592"/>
      <c r="G52" s="592"/>
      <c r="H52" s="592"/>
      <c r="I52" s="592"/>
      <c r="J52" s="592"/>
      <c r="K52" s="592"/>
      <c r="L52" s="592"/>
      <c r="M52" s="592"/>
      <c r="N52" s="592"/>
      <c r="Q52" s="399"/>
    </row>
    <row r="53" spans="1:17" ht="18.75" x14ac:dyDescent="0.3">
      <c r="A53" s="1141"/>
      <c r="B53" s="1142"/>
      <c r="C53" s="1142"/>
      <c r="D53" s="1142"/>
      <c r="E53" s="592"/>
      <c r="F53" s="592"/>
      <c r="G53" s="592"/>
      <c r="H53" s="592"/>
      <c r="I53" s="592"/>
      <c r="J53" s="592"/>
      <c r="K53" s="592"/>
      <c r="L53" s="592"/>
      <c r="M53" s="592"/>
      <c r="N53" s="592"/>
      <c r="Q53" s="399"/>
    </row>
    <row r="54" spans="1:17" ht="18.75" x14ac:dyDescent="0.3">
      <c r="A54" s="1141"/>
      <c r="B54" s="1142"/>
      <c r="C54" s="1142"/>
      <c r="D54" s="1142"/>
      <c r="E54" s="592"/>
      <c r="F54" s="592"/>
      <c r="G54" s="592"/>
      <c r="H54" s="592"/>
      <c r="I54" s="592"/>
      <c r="J54" s="592"/>
      <c r="K54" s="592"/>
      <c r="L54" s="592"/>
      <c r="M54" s="592"/>
      <c r="N54" s="592"/>
      <c r="Q54" s="399"/>
    </row>
    <row r="55" spans="1:17" ht="18.75" x14ac:dyDescent="0.3">
      <c r="A55" s="1141"/>
      <c r="B55" s="1142"/>
      <c r="C55" s="1142"/>
      <c r="D55" s="1142"/>
      <c r="E55" s="592"/>
      <c r="F55" s="592"/>
      <c r="G55" s="592"/>
      <c r="H55" s="592"/>
      <c r="I55" s="592"/>
      <c r="J55" s="592"/>
      <c r="K55" s="592"/>
      <c r="L55" s="592"/>
      <c r="M55" s="592"/>
      <c r="N55" s="592"/>
      <c r="Q55" s="399"/>
    </row>
    <row r="56" spans="1:17" ht="1.5" customHeight="1" x14ac:dyDescent="0.3">
      <c r="A56" s="600"/>
      <c r="B56" s="592"/>
      <c r="C56" s="592"/>
      <c r="D56" s="592"/>
      <c r="E56" s="592"/>
      <c r="F56" s="592"/>
      <c r="G56" s="592"/>
      <c r="H56" s="592"/>
      <c r="I56" s="592"/>
      <c r="J56" s="592"/>
      <c r="K56" s="592"/>
      <c r="L56" s="592"/>
      <c r="M56" s="592"/>
      <c r="N56" s="592"/>
      <c r="Q56" s="399"/>
    </row>
    <row r="57" spans="1:17" ht="18.75" x14ac:dyDescent="0.3">
      <c r="A57" s="600"/>
      <c r="B57" s="592"/>
      <c r="C57" s="592"/>
      <c r="D57" s="592"/>
      <c r="E57" s="592"/>
      <c r="F57" s="592"/>
      <c r="G57" s="592"/>
      <c r="H57" s="592"/>
      <c r="I57" s="592"/>
      <c r="J57" s="592"/>
      <c r="K57" s="592"/>
      <c r="L57" s="592"/>
      <c r="M57" s="592"/>
      <c r="N57" s="592"/>
      <c r="Q57" s="399"/>
    </row>
    <row r="58" spans="1:17" ht="19.5" thickBot="1" x14ac:dyDescent="0.35">
      <c r="A58" s="628" t="s">
        <v>1255</v>
      </c>
      <c r="B58" s="633"/>
      <c r="C58" s="633"/>
      <c r="D58" s="633"/>
      <c r="E58" s="633"/>
      <c r="F58" s="633"/>
      <c r="G58" s="633"/>
      <c r="H58" s="633"/>
      <c r="I58" s="633"/>
      <c r="J58" s="633"/>
      <c r="K58" s="633"/>
      <c r="L58" s="633"/>
      <c r="M58" s="633"/>
      <c r="N58" s="633"/>
      <c r="O58" s="403"/>
      <c r="P58" s="403"/>
      <c r="Q58" s="404"/>
    </row>
  </sheetData>
  <mergeCells count="16">
    <mergeCell ref="H24:H25"/>
    <mergeCell ref="I24:I25"/>
    <mergeCell ref="A3:Q3"/>
    <mergeCell ref="A11:A18"/>
    <mergeCell ref="D11:D12"/>
    <mergeCell ref="E11:E12"/>
    <mergeCell ref="H11:H12"/>
    <mergeCell ref="I11:I12"/>
    <mergeCell ref="J11:J18"/>
    <mergeCell ref="K11:K18"/>
    <mergeCell ref="L11:L18"/>
    <mergeCell ref="M11:M18"/>
    <mergeCell ref="N11:N18"/>
    <mergeCell ref="O11:O18"/>
    <mergeCell ref="P11:P18"/>
    <mergeCell ref="Q11:Q18"/>
  </mergeCells>
  <hyperlinks>
    <hyperlink ref="A1" location="CONTENTS!A1" display="Home" xr:uid="{9ED03D8F-613A-43E2-82C7-5A571285C7B0}"/>
  </hyperlinks>
  <pageMargins left="0.28923611111111114" right="0.70866141732283472" top="0.2578125" bottom="0.74803149606299213" header="0.31496062992125984" footer="0.31496062992125984"/>
  <pageSetup paperSize="9" scale="37" fitToHeight="2" orientation="portrait" r:id="rId1"/>
  <rowBreaks count="1" manualBreakCount="1">
    <brk id="26" max="16383" man="1"/>
  </rowBreak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DF8F9D-EF5B-4389-9B93-0F8B4911F9C5}">
  <sheetPr codeName="Sheet54">
    <tabColor theme="0"/>
    <pageSetUpPr fitToPage="1"/>
  </sheetPr>
  <dimension ref="B1:AE64"/>
  <sheetViews>
    <sheetView view="pageLayout" zoomScale="80" zoomScaleNormal="100" zoomScalePageLayoutView="80" workbookViewId="0">
      <selection activeCell="N2" sqref="N2:Z2"/>
    </sheetView>
  </sheetViews>
  <sheetFormatPr defaultRowHeight="15" x14ac:dyDescent="0.25"/>
  <cols>
    <col min="3" max="3" width="12.28515625" customWidth="1"/>
    <col min="4" max="4" width="17.140625" customWidth="1"/>
    <col min="5" max="5" width="6.5703125" bestFit="1" customWidth="1"/>
    <col min="6" max="11" width="6.5703125" hidden="1" customWidth="1"/>
    <col min="12" max="13" width="13.7109375" customWidth="1"/>
    <col min="14" max="16" width="6.5703125" customWidth="1"/>
    <col min="29" max="29" width="0" hidden="1" customWidth="1"/>
    <col min="30" max="30" width="27.28515625" hidden="1" customWidth="1"/>
    <col min="31" max="31" width="10.5703125" hidden="1" customWidth="1"/>
  </cols>
  <sheetData>
    <row r="1" spans="2:31" ht="15.75" thickBot="1" x14ac:dyDescent="0.3"/>
    <row r="2" spans="2:31" ht="15" customHeight="1" x14ac:dyDescent="0.25">
      <c r="B2" t="s">
        <v>1249</v>
      </c>
      <c r="N2" s="3310" t="s">
        <v>2545</v>
      </c>
      <c r="O2" s="3311"/>
      <c r="P2" s="3311"/>
      <c r="Q2" s="3311"/>
      <c r="R2" s="3311"/>
      <c r="S2" s="3311"/>
      <c r="T2" s="3311"/>
      <c r="U2" s="3311"/>
      <c r="V2" s="3311"/>
      <c r="W2" s="3311"/>
      <c r="X2" s="3311"/>
      <c r="Y2" s="3311"/>
      <c r="Z2" s="3312"/>
    </row>
    <row r="3" spans="2:31" ht="21.75" customHeight="1" x14ac:dyDescent="0.25">
      <c r="N3" s="110"/>
      <c r="Z3" s="111"/>
      <c r="AD3" s="119" t="s">
        <v>1193</v>
      </c>
      <c r="AE3" s="120" t="e">
        <f>SUMIF(#REF!,AD3,#REF!)</f>
        <v>#REF!</v>
      </c>
    </row>
    <row r="4" spans="2:31" ht="60" x14ac:dyDescent="0.25">
      <c r="C4" t="s">
        <v>1250</v>
      </c>
      <c r="D4" s="17" t="s">
        <v>1251</v>
      </c>
      <c r="E4" s="17" t="s">
        <v>1252</v>
      </c>
      <c r="F4" s="17"/>
      <c r="G4" s="17"/>
      <c r="H4" s="17"/>
      <c r="I4" s="17"/>
      <c r="J4" s="17"/>
      <c r="K4" s="17"/>
      <c r="L4" s="17"/>
      <c r="M4" s="17"/>
      <c r="N4" s="121"/>
      <c r="O4" s="17"/>
      <c r="P4" s="17"/>
      <c r="Z4" s="111"/>
      <c r="AD4" s="118" t="s">
        <v>1197</v>
      </c>
      <c r="AE4" s="120" t="e">
        <f>SUMIF(#REF!,AD4,#REF!)</f>
        <v>#REF!</v>
      </c>
    </row>
    <row r="5" spans="2:31" ht="16.5" x14ac:dyDescent="0.25">
      <c r="C5" t="s">
        <v>1253</v>
      </c>
      <c r="D5" s="1561">
        <v>106.71299999999999</v>
      </c>
      <c r="E5" s="163">
        <f t="shared" ref="E5:E14" si="0">D5*100/$D$15</f>
        <v>0.37921753038070327</v>
      </c>
      <c r="F5" s="122"/>
      <c r="G5" s="122"/>
      <c r="H5" s="122"/>
      <c r="I5" s="122"/>
      <c r="J5" s="122"/>
      <c r="K5" s="122"/>
      <c r="L5" s="122"/>
      <c r="M5" s="122"/>
      <c r="N5" s="123"/>
      <c r="O5" s="122"/>
      <c r="P5" s="122"/>
      <c r="Z5" s="111"/>
      <c r="AD5" s="124" t="s">
        <v>1223</v>
      </c>
      <c r="AE5" s="120" t="e">
        <f>SUMIF(#REF!,AD5,#REF!)</f>
        <v>#REF!</v>
      </c>
    </row>
    <row r="6" spans="2:31" ht="17.25" x14ac:dyDescent="0.25">
      <c r="C6" t="s">
        <v>1197</v>
      </c>
      <c r="D6" s="1562">
        <v>18413</v>
      </c>
      <c r="E6" s="163">
        <f t="shared" si="0"/>
        <v>65.432818746543447</v>
      </c>
      <c r="F6" s="122"/>
      <c r="G6" s="122"/>
      <c r="H6" s="122"/>
      <c r="I6" s="122"/>
      <c r="J6" s="122"/>
      <c r="K6" s="122"/>
      <c r="L6" s="122"/>
      <c r="M6" s="122"/>
      <c r="N6" s="123"/>
      <c r="O6" s="122"/>
      <c r="P6" s="122"/>
      <c r="Z6" s="111"/>
      <c r="AD6" s="125" t="s">
        <v>1225</v>
      </c>
      <c r="AE6" s="120" t="e">
        <f>SUMIF(#REF!,AD6,#REF!)</f>
        <v>#REF!</v>
      </c>
    </row>
    <row r="7" spans="2:31" ht="17.25" x14ac:dyDescent="0.25">
      <c r="C7" t="s">
        <v>1223</v>
      </c>
      <c r="D7" s="1562">
        <v>73.2</v>
      </c>
      <c r="E7" s="163">
        <f t="shared" si="0"/>
        <v>0.26012503841019824</v>
      </c>
      <c r="F7" s="122"/>
      <c r="G7" s="122"/>
      <c r="H7" s="122"/>
      <c r="I7" s="122"/>
      <c r="J7" s="122"/>
      <c r="K7" s="122"/>
      <c r="L7" s="122"/>
      <c r="M7" s="122"/>
      <c r="N7" s="123"/>
      <c r="O7" s="122"/>
      <c r="P7" s="122"/>
      <c r="Z7" s="111"/>
      <c r="AD7" s="125" t="s">
        <v>1227</v>
      </c>
      <c r="AE7" s="120" t="e">
        <f>SUMIF(#REF!,AD7,#REF!)</f>
        <v>#REF!</v>
      </c>
    </row>
    <row r="8" spans="2:31" ht="17.25" x14ac:dyDescent="0.25">
      <c r="C8" t="s">
        <v>1225</v>
      </c>
      <c r="D8" s="1561">
        <v>1686.42</v>
      </c>
      <c r="E8" s="163">
        <f t="shared" si="0"/>
        <v>5.99289709393069</v>
      </c>
      <c r="F8" s="122"/>
      <c r="G8" s="122"/>
      <c r="H8" s="122"/>
      <c r="I8" s="122"/>
      <c r="J8" s="122"/>
      <c r="K8" s="122"/>
      <c r="L8" s="122"/>
      <c r="M8" s="122"/>
      <c r="N8" s="123"/>
      <c r="O8" s="122"/>
      <c r="P8" s="122"/>
      <c r="Z8" s="111"/>
      <c r="AD8" s="126" t="s">
        <v>1230</v>
      </c>
      <c r="AE8" s="120" t="e">
        <f>SUMIF(#REF!,AD8,#REF!)</f>
        <v>#REF!</v>
      </c>
    </row>
    <row r="9" spans="2:31" ht="17.25" x14ac:dyDescent="0.25">
      <c r="C9" t="s">
        <v>1254</v>
      </c>
      <c r="D9" s="1561">
        <v>1485</v>
      </c>
      <c r="E9" s="163">
        <f t="shared" si="0"/>
        <v>5.2771268038134478</v>
      </c>
      <c r="F9" s="122"/>
      <c r="G9" s="122"/>
      <c r="H9" s="122"/>
      <c r="I9" s="122"/>
      <c r="J9" s="122"/>
      <c r="K9" s="122"/>
      <c r="L9" s="122"/>
      <c r="M9" s="122"/>
      <c r="N9" s="123"/>
      <c r="O9" s="122"/>
      <c r="P9" s="122"/>
      <c r="Z9" s="111"/>
      <c r="AD9" s="127" t="s">
        <v>1112</v>
      </c>
      <c r="AE9" s="120" t="e">
        <f>SUMIF(#REF!,AD9,#REF!)</f>
        <v>#REF!</v>
      </c>
    </row>
    <row r="10" spans="2:31" ht="16.5" x14ac:dyDescent="0.25">
      <c r="C10" t="s">
        <v>1112</v>
      </c>
      <c r="D10" s="1561">
        <v>1200</v>
      </c>
      <c r="E10" s="163">
        <f t="shared" si="0"/>
        <v>4.2643448919704623</v>
      </c>
      <c r="F10" s="122"/>
      <c r="G10" s="122"/>
      <c r="H10" s="122"/>
      <c r="I10" s="122"/>
      <c r="J10" s="122"/>
      <c r="K10" s="122"/>
      <c r="L10" s="122"/>
      <c r="M10" s="122"/>
      <c r="N10" s="123"/>
      <c r="O10" s="122"/>
      <c r="P10" s="122"/>
      <c r="Z10" s="111"/>
      <c r="AD10" s="119" t="s">
        <v>243</v>
      </c>
      <c r="AE10" s="120" t="e">
        <f>SUMIF(#REF!,AD10,#REF!)</f>
        <v>#REF!</v>
      </c>
    </row>
    <row r="11" spans="2:31" ht="12" customHeight="1" x14ac:dyDescent="0.25">
      <c r="C11" t="s">
        <v>1227</v>
      </c>
      <c r="D11" s="1561">
        <v>2042</v>
      </c>
      <c r="E11" s="163">
        <f t="shared" si="0"/>
        <v>7.2564935578364036</v>
      </c>
      <c r="F11" s="122"/>
      <c r="G11" s="122"/>
      <c r="H11" s="122"/>
      <c r="I11" s="122"/>
      <c r="J11" s="122"/>
      <c r="K11" s="122"/>
      <c r="L11" s="122"/>
      <c r="M11" s="122"/>
      <c r="N11" s="123"/>
      <c r="O11" s="122"/>
      <c r="P11" s="122"/>
      <c r="Z11" s="111"/>
      <c r="AD11" s="127" t="s">
        <v>1243</v>
      </c>
      <c r="AE11" s="120" t="e">
        <f>SUMIF(#REF!,AD11,#REF!)</f>
        <v>#REF!</v>
      </c>
    </row>
    <row r="12" spans="2:31" ht="17.25" x14ac:dyDescent="0.25">
      <c r="C12" t="s">
        <v>1246</v>
      </c>
      <c r="D12" s="1561">
        <v>304</v>
      </c>
      <c r="E12" s="163">
        <f t="shared" si="0"/>
        <v>1.0803007059658505</v>
      </c>
      <c r="F12" s="122"/>
      <c r="G12" s="122"/>
      <c r="H12" s="122"/>
      <c r="I12" s="122"/>
      <c r="J12" s="122"/>
      <c r="K12" s="122"/>
      <c r="L12" s="122"/>
      <c r="M12" s="122"/>
      <c r="N12" s="123"/>
      <c r="O12" s="122"/>
      <c r="P12" s="122"/>
      <c r="Z12" s="111"/>
      <c r="AD12" s="127" t="s">
        <v>1246</v>
      </c>
      <c r="AE12" s="120" t="e">
        <f>SUMIF(#REF!,AD12,#REF!)</f>
        <v>#REF!</v>
      </c>
    </row>
    <row r="13" spans="2:31" x14ac:dyDescent="0.25">
      <c r="C13" t="s">
        <v>1230</v>
      </c>
      <c r="D13" s="1561">
        <v>2805.98</v>
      </c>
      <c r="E13" s="163">
        <f t="shared" si="0"/>
        <v>9.9713887333094</v>
      </c>
      <c r="F13" s="122"/>
      <c r="G13" s="122"/>
      <c r="H13" s="122"/>
      <c r="I13" s="122"/>
      <c r="J13" s="122"/>
      <c r="K13" s="122"/>
      <c r="L13" s="122"/>
      <c r="M13" s="122"/>
      <c r="N13" s="123"/>
      <c r="O13" s="122"/>
      <c r="P13" s="122"/>
      <c r="Z13" s="111"/>
    </row>
    <row r="14" spans="2:31" x14ac:dyDescent="0.25">
      <c r="C14" t="s">
        <v>243</v>
      </c>
      <c r="D14" s="1561">
        <v>24</v>
      </c>
      <c r="E14" s="163">
        <f t="shared" si="0"/>
        <v>8.5286897839409251E-2</v>
      </c>
      <c r="F14" s="122"/>
      <c r="G14" s="122"/>
      <c r="H14" s="122"/>
      <c r="I14" s="122"/>
      <c r="J14" s="122"/>
      <c r="K14" s="122"/>
      <c r="L14" s="122"/>
      <c r="M14" s="122"/>
      <c r="N14" s="123"/>
      <c r="O14" s="122"/>
      <c r="P14" s="122"/>
      <c r="Z14" s="111"/>
    </row>
    <row r="15" spans="2:31" ht="76.5" customHeight="1" x14ac:dyDescent="0.25">
      <c r="B15" s="1454"/>
      <c r="D15" s="1563">
        <f>SUM(D5:D14)</f>
        <v>28140.312999999998</v>
      </c>
      <c r="F15" s="128"/>
      <c r="G15" s="128"/>
      <c r="H15" s="128"/>
      <c r="I15" s="128"/>
      <c r="J15" s="128"/>
      <c r="K15" s="128"/>
      <c r="L15" s="128"/>
      <c r="M15" s="128"/>
      <c r="N15" s="129"/>
      <c r="O15" s="128"/>
      <c r="P15" s="128"/>
      <c r="Z15" s="111"/>
    </row>
    <row r="16" spans="2:31" x14ac:dyDescent="0.25">
      <c r="N16" s="110"/>
      <c r="Z16" s="111"/>
    </row>
    <row r="17" spans="14:26" ht="15.75" thickBot="1" x14ac:dyDescent="0.3">
      <c r="N17" s="99" t="s">
        <v>1255</v>
      </c>
      <c r="O17" s="100"/>
      <c r="P17" s="100"/>
      <c r="Q17" s="100"/>
      <c r="R17" s="100"/>
      <c r="S17" s="100"/>
      <c r="T17" s="100"/>
      <c r="U17" s="100"/>
      <c r="V17" s="100"/>
      <c r="W17" s="100"/>
      <c r="X17" s="100"/>
      <c r="Y17" s="100"/>
      <c r="Z17" s="516"/>
    </row>
    <row r="64" ht="1.5" customHeight="1" x14ac:dyDescent="0.25"/>
  </sheetData>
  <mergeCells count="1">
    <mergeCell ref="N2:Z2"/>
  </mergeCells>
  <pageMargins left="0.70866141732283472" right="0.70866141732283472" top="0.74803149606299213" bottom="0.74803149606299213" header="0.31496062992125984" footer="0.31496062992125984"/>
  <pageSetup paperSize="9" scale="46" orientation="portrait" horizontalDpi="300" verticalDpi="300" r:id="rId1"/>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7B251B-B768-42CF-9367-EB39331E6FFB}">
  <sheetPr>
    <tabColor theme="0"/>
    <pageSetUpPr fitToPage="1"/>
  </sheetPr>
  <dimension ref="A1:G64"/>
  <sheetViews>
    <sheetView showWhiteSpace="0" view="pageLayout" topLeftCell="A34" zoomScale="80" zoomScaleNormal="100" zoomScalePageLayoutView="80" workbookViewId="0">
      <selection activeCell="B81" sqref="B81"/>
    </sheetView>
  </sheetViews>
  <sheetFormatPr defaultColWidth="9.140625" defaultRowHeight="15.75" x14ac:dyDescent="0.25"/>
  <cols>
    <col min="1" max="1" width="19.7109375" style="241" customWidth="1"/>
    <col min="2" max="2" width="65.42578125" style="241" customWidth="1"/>
    <col min="3" max="3" width="17.5703125" style="243" customWidth="1"/>
    <col min="4" max="7" width="17.5703125" style="241" customWidth="1"/>
    <col min="8" max="16384" width="9.140625" style="241"/>
  </cols>
  <sheetData>
    <row r="1" spans="1:7" ht="18.75" x14ac:dyDescent="0.25">
      <c r="A1" s="3327" t="s">
        <v>1256</v>
      </c>
      <c r="B1" s="3327"/>
      <c r="C1" s="3327"/>
      <c r="D1" s="3327"/>
      <c r="E1" s="3327"/>
      <c r="F1" s="3327"/>
      <c r="G1" s="3327"/>
    </row>
    <row r="2" spans="1:7" ht="56.25" x14ac:dyDescent="0.25">
      <c r="A2" s="3327" t="s">
        <v>1257</v>
      </c>
      <c r="B2" s="3327" t="s">
        <v>1258</v>
      </c>
      <c r="C2" s="3327" t="s">
        <v>1259</v>
      </c>
      <c r="D2" s="885" t="s">
        <v>1260</v>
      </c>
      <c r="E2" s="885" t="s">
        <v>1261</v>
      </c>
      <c r="F2" s="885" t="s">
        <v>1262</v>
      </c>
      <c r="G2" s="885" t="s">
        <v>1263</v>
      </c>
    </row>
    <row r="3" spans="1:7" ht="36.75" customHeight="1" x14ac:dyDescent="0.25">
      <c r="A3" s="3327"/>
      <c r="B3" s="3327"/>
      <c r="C3" s="3327"/>
      <c r="D3" s="885" t="s">
        <v>2539</v>
      </c>
      <c r="E3" s="885" t="s">
        <v>2539</v>
      </c>
      <c r="F3" s="885" t="s">
        <v>2479</v>
      </c>
      <c r="G3" s="885" t="s">
        <v>2479</v>
      </c>
    </row>
    <row r="4" spans="1:7" ht="36" customHeight="1" x14ac:dyDescent="0.25">
      <c r="A4" s="917" t="s">
        <v>218</v>
      </c>
      <c r="B4" s="917" t="s">
        <v>1264</v>
      </c>
      <c r="C4" s="3313" t="s">
        <v>243</v>
      </c>
      <c r="D4" s="1734">
        <v>62.5</v>
      </c>
      <c r="E4" s="1735">
        <v>3.14</v>
      </c>
      <c r="F4" s="1735">
        <v>0.93873119800000004</v>
      </c>
      <c r="G4" s="1735">
        <v>29.895898025477706</v>
      </c>
    </row>
    <row r="5" spans="1:7" ht="29.25" customHeight="1" x14ac:dyDescent="0.25">
      <c r="A5" s="917" t="s">
        <v>218</v>
      </c>
      <c r="B5" s="917" t="s">
        <v>1265</v>
      </c>
      <c r="C5" s="3313"/>
      <c r="D5" s="1734">
        <v>79.7</v>
      </c>
      <c r="E5" s="1735">
        <v>5.4</v>
      </c>
      <c r="F5" s="1735">
        <v>3.7898636230000005</v>
      </c>
      <c r="G5" s="1735">
        <v>70.182659685185186</v>
      </c>
    </row>
    <row r="6" spans="1:7" ht="29.25" customHeight="1" x14ac:dyDescent="0.25">
      <c r="A6" s="917" t="s">
        <v>218</v>
      </c>
      <c r="B6" s="917" t="s">
        <v>1266</v>
      </c>
      <c r="C6" s="3313"/>
      <c r="D6" s="1734">
        <v>78.400000000000006</v>
      </c>
      <c r="E6" s="1735">
        <v>3.3</v>
      </c>
      <c r="F6" s="1735">
        <v>0</v>
      </c>
      <c r="G6" s="1735">
        <v>0</v>
      </c>
    </row>
    <row r="7" spans="1:7" ht="61.5" customHeight="1" x14ac:dyDescent="0.25">
      <c r="A7" s="917" t="s">
        <v>218</v>
      </c>
      <c r="B7" s="917" t="s">
        <v>1267</v>
      </c>
      <c r="C7" s="3313"/>
      <c r="D7" s="1734">
        <v>77</v>
      </c>
      <c r="E7" s="1735">
        <v>2.2650000000000001</v>
      </c>
      <c r="F7" s="1735">
        <v>2.0493552730000002</v>
      </c>
      <c r="G7" s="1735">
        <v>90.479261501103764</v>
      </c>
    </row>
    <row r="8" spans="1:7" ht="48.75" customHeight="1" x14ac:dyDescent="0.25">
      <c r="A8" s="917" t="s">
        <v>218</v>
      </c>
      <c r="B8" s="917" t="s">
        <v>1268</v>
      </c>
      <c r="C8" s="3313"/>
      <c r="D8" s="1734">
        <v>94.77</v>
      </c>
      <c r="E8" s="1735">
        <v>2.1989999999999998</v>
      </c>
      <c r="F8" s="1735">
        <v>0.52404347200000001</v>
      </c>
      <c r="G8" s="1735">
        <v>23.830990086402913</v>
      </c>
    </row>
    <row r="9" spans="1:7" ht="42" customHeight="1" x14ac:dyDescent="0.25">
      <c r="A9" s="917" t="s">
        <v>218</v>
      </c>
      <c r="B9" s="917" t="s">
        <v>1269</v>
      </c>
      <c r="C9" s="3313"/>
      <c r="D9" s="1734">
        <v>44.3</v>
      </c>
      <c r="E9" s="1735">
        <v>0.39400000000000002</v>
      </c>
      <c r="F9" s="1735">
        <v>0</v>
      </c>
      <c r="G9" s="1735">
        <v>0</v>
      </c>
    </row>
    <row r="10" spans="1:7" ht="44.25" customHeight="1" x14ac:dyDescent="0.25">
      <c r="A10" s="917" t="s">
        <v>218</v>
      </c>
      <c r="B10" s="917" t="s">
        <v>1270</v>
      </c>
      <c r="C10" s="3313"/>
      <c r="D10" s="1734">
        <v>56.7</v>
      </c>
      <c r="E10" s="1735">
        <v>1.8049999999999999</v>
      </c>
      <c r="F10" s="1735">
        <v>0.39442902000000007</v>
      </c>
      <c r="G10" s="1735">
        <v>21.852023268698066</v>
      </c>
    </row>
    <row r="11" spans="1:7" ht="39.75" customHeight="1" x14ac:dyDescent="0.25">
      <c r="A11" s="917" t="s">
        <v>218</v>
      </c>
      <c r="B11" s="917" t="s">
        <v>1271</v>
      </c>
      <c r="C11" s="3313"/>
      <c r="D11" s="1734">
        <v>65.5</v>
      </c>
      <c r="E11" s="1735">
        <v>0.48099999999999998</v>
      </c>
      <c r="F11" s="1735">
        <v>0.35046616700000005</v>
      </c>
      <c r="G11" s="1735">
        <v>72.861988981288988</v>
      </c>
    </row>
    <row r="12" spans="1:7" ht="29.25" customHeight="1" x14ac:dyDescent="0.25">
      <c r="A12" s="917" t="s">
        <v>218</v>
      </c>
      <c r="B12" s="917" t="s">
        <v>1272</v>
      </c>
      <c r="C12" s="3313"/>
      <c r="D12" s="1734">
        <v>14.6</v>
      </c>
      <c r="E12" s="1735">
        <v>1.5</v>
      </c>
      <c r="F12" s="1735">
        <v>0.38496894000000004</v>
      </c>
      <c r="G12" s="1735">
        <v>25.664596000000003</v>
      </c>
    </row>
    <row r="13" spans="1:7" ht="29.25" customHeight="1" x14ac:dyDescent="0.25">
      <c r="A13" s="917" t="s">
        <v>218</v>
      </c>
      <c r="B13" s="917" t="s">
        <v>1273</v>
      </c>
      <c r="C13" s="3313"/>
      <c r="D13" s="1734">
        <v>17.5</v>
      </c>
      <c r="E13" s="1735">
        <v>1.5</v>
      </c>
      <c r="F13" s="1735">
        <v>0</v>
      </c>
      <c r="G13" s="1735">
        <v>0</v>
      </c>
    </row>
    <row r="14" spans="1:7" ht="29.25" customHeight="1" x14ac:dyDescent="0.25">
      <c r="A14" s="917" t="s">
        <v>218</v>
      </c>
      <c r="B14" s="917" t="s">
        <v>1274</v>
      </c>
      <c r="C14" s="3313"/>
      <c r="D14" s="1734">
        <v>48.5</v>
      </c>
      <c r="E14" s="1735">
        <v>1.5</v>
      </c>
      <c r="F14" s="1735">
        <v>0</v>
      </c>
      <c r="G14" s="1735">
        <v>0</v>
      </c>
    </row>
    <row r="15" spans="1:7" ht="29.25" customHeight="1" x14ac:dyDescent="0.25">
      <c r="A15" s="917" t="s">
        <v>218</v>
      </c>
      <c r="B15" s="1460" t="s">
        <v>2526</v>
      </c>
      <c r="C15" s="3313"/>
      <c r="D15" s="1734">
        <v>48.009</v>
      </c>
      <c r="E15" s="1735">
        <v>1.5</v>
      </c>
      <c r="F15" s="1735">
        <v>0.27116160499999997</v>
      </c>
      <c r="G15" s="1735">
        <v>18.077440333333332</v>
      </c>
    </row>
    <row r="16" spans="1:7" ht="29.25" customHeight="1" x14ac:dyDescent="0.25">
      <c r="A16" s="917" t="s">
        <v>218</v>
      </c>
      <c r="B16" s="917" t="s">
        <v>1275</v>
      </c>
      <c r="C16" s="3313"/>
      <c r="D16" s="1734">
        <v>42.8</v>
      </c>
      <c r="E16" s="1735">
        <v>0.6</v>
      </c>
      <c r="F16" s="1735">
        <v>0</v>
      </c>
      <c r="G16" s="1735">
        <v>0</v>
      </c>
    </row>
    <row r="17" spans="1:7" ht="29.25" customHeight="1" x14ac:dyDescent="0.25">
      <c r="A17" s="917" t="s">
        <v>218</v>
      </c>
      <c r="B17" s="917" t="s">
        <v>1276</v>
      </c>
      <c r="C17" s="3313"/>
      <c r="D17" s="1734">
        <v>43.4</v>
      </c>
      <c r="E17" s="1735">
        <v>0.6</v>
      </c>
      <c r="F17" s="1735">
        <v>0.24169579999999999</v>
      </c>
      <c r="G17" s="1735">
        <v>40.28263333333333</v>
      </c>
    </row>
    <row r="18" spans="1:7" ht="37.5" x14ac:dyDescent="0.25">
      <c r="A18" s="917" t="s">
        <v>218</v>
      </c>
      <c r="B18" s="917" t="s">
        <v>1277</v>
      </c>
      <c r="C18" s="3313"/>
      <c r="D18" s="1734">
        <v>4.9000000000000004</v>
      </c>
      <c r="E18" s="1735">
        <v>0.74</v>
      </c>
      <c r="F18" s="1735">
        <v>0</v>
      </c>
      <c r="G18" s="1735">
        <v>0</v>
      </c>
    </row>
    <row r="19" spans="1:7" ht="37.5" x14ac:dyDescent="0.25">
      <c r="A19" s="917" t="s">
        <v>218</v>
      </c>
      <c r="B19" s="917" t="s">
        <v>1278</v>
      </c>
      <c r="C19" s="3313"/>
      <c r="D19" s="1734">
        <v>13.5</v>
      </c>
      <c r="E19" s="1735">
        <v>8.3000000000000004E-2</v>
      </c>
      <c r="F19" s="1735">
        <v>4.6165203000000002E-2</v>
      </c>
      <c r="G19" s="1735">
        <v>55.620726506024099</v>
      </c>
    </row>
    <row r="20" spans="1:7" ht="75" x14ac:dyDescent="0.25">
      <c r="A20" s="917" t="s">
        <v>218</v>
      </c>
      <c r="B20" s="917" t="s">
        <v>1279</v>
      </c>
      <c r="C20" s="3313"/>
      <c r="D20" s="1734">
        <v>3.5</v>
      </c>
      <c r="E20" s="1735">
        <v>0.09</v>
      </c>
      <c r="F20" s="1735">
        <v>4.6180497999999993E-2</v>
      </c>
      <c r="G20" s="1735">
        <v>51.311664444444439</v>
      </c>
    </row>
    <row r="21" spans="1:7" ht="29.25" customHeight="1" x14ac:dyDescent="0.25">
      <c r="A21" s="917" t="s">
        <v>227</v>
      </c>
      <c r="B21" s="917" t="s">
        <v>1280</v>
      </c>
      <c r="C21" s="3313"/>
      <c r="D21" s="1734">
        <v>204</v>
      </c>
      <c r="E21" s="1735">
        <v>15.634</v>
      </c>
      <c r="F21" s="1735">
        <v>1.1874092269999998</v>
      </c>
      <c r="G21" s="1735">
        <v>7.5950443072790064</v>
      </c>
    </row>
    <row r="22" spans="1:7" ht="29.25" customHeight="1" x14ac:dyDescent="0.25">
      <c r="A22" s="917" t="s">
        <v>227</v>
      </c>
      <c r="B22" s="917" t="s">
        <v>1281</v>
      </c>
      <c r="C22" s="3313"/>
      <c r="D22" s="1734">
        <v>81</v>
      </c>
      <c r="E22" s="1735">
        <v>11.5</v>
      </c>
      <c r="F22" s="1735">
        <v>7.0049641979999988</v>
      </c>
      <c r="G22" s="1735">
        <v>60.912732156521727</v>
      </c>
    </row>
    <row r="23" spans="1:7" ht="29.25" customHeight="1" x14ac:dyDescent="0.25">
      <c r="A23" s="917" t="s">
        <v>227</v>
      </c>
      <c r="B23" s="917" t="s">
        <v>1282</v>
      </c>
      <c r="C23" s="3313"/>
      <c r="D23" s="1734">
        <v>203</v>
      </c>
      <c r="E23" s="1735">
        <v>6.38</v>
      </c>
      <c r="F23" s="1735">
        <v>1.3067897049999999</v>
      </c>
      <c r="G23" s="1735">
        <v>20.482597257053293</v>
      </c>
    </row>
    <row r="24" spans="1:7" ht="37.5" customHeight="1" x14ac:dyDescent="0.25">
      <c r="A24" s="917"/>
      <c r="B24" s="917"/>
      <c r="C24" s="919" t="s">
        <v>1283</v>
      </c>
      <c r="D24" s="1736">
        <v>1283.579</v>
      </c>
      <c r="E24" s="1737">
        <v>60.611000000000004</v>
      </c>
      <c r="F24" s="1737">
        <v>18.536223928999998</v>
      </c>
      <c r="G24" s="1738">
        <v>30.582277027272273</v>
      </c>
    </row>
    <row r="25" spans="1:7" ht="29.25" customHeight="1" x14ac:dyDescent="0.25">
      <c r="A25" s="917" t="s">
        <v>218</v>
      </c>
      <c r="B25" s="917" t="s">
        <v>2373</v>
      </c>
      <c r="C25" s="3313" t="s">
        <v>1112</v>
      </c>
      <c r="D25" s="1734">
        <v>2646</v>
      </c>
      <c r="E25" s="1735">
        <v>25</v>
      </c>
      <c r="F25" s="1735">
        <v>27.356000000000002</v>
      </c>
      <c r="G25" s="1735">
        <v>109.42400000000001</v>
      </c>
    </row>
    <row r="26" spans="1:7" ht="29.25" customHeight="1" x14ac:dyDescent="0.25">
      <c r="A26" s="917" t="s">
        <v>227</v>
      </c>
      <c r="B26" s="917" t="s">
        <v>2374</v>
      </c>
      <c r="C26" s="3313"/>
      <c r="D26" s="1734">
        <v>17</v>
      </c>
      <c r="E26" s="1735" t="s">
        <v>18</v>
      </c>
      <c r="F26" s="1735">
        <v>0</v>
      </c>
      <c r="G26" s="1735" t="s">
        <v>18</v>
      </c>
    </row>
    <row r="27" spans="1:7" ht="18.75" x14ac:dyDescent="0.25">
      <c r="A27" s="917" t="s">
        <v>218</v>
      </c>
      <c r="B27" s="917" t="s">
        <v>2375</v>
      </c>
      <c r="C27" s="3313"/>
      <c r="D27" s="1734">
        <v>1373</v>
      </c>
      <c r="E27" s="1735">
        <v>20.399999999999999</v>
      </c>
      <c r="F27" s="1735">
        <v>18.690999999999999</v>
      </c>
      <c r="G27" s="1735">
        <v>91.622549019607845</v>
      </c>
    </row>
    <row r="28" spans="1:7" ht="37.5" x14ac:dyDescent="0.25">
      <c r="A28" s="917" t="s">
        <v>227</v>
      </c>
      <c r="B28" s="917" t="s">
        <v>2376</v>
      </c>
      <c r="C28" s="3313"/>
      <c r="D28" s="1734">
        <v>92</v>
      </c>
      <c r="E28" s="1735" t="s">
        <v>18</v>
      </c>
      <c r="F28" s="1735">
        <v>0</v>
      </c>
      <c r="G28" s="1735" t="s">
        <v>18</v>
      </c>
    </row>
    <row r="29" spans="1:7" ht="29.25" customHeight="1" x14ac:dyDescent="0.25">
      <c r="A29" s="917" t="s">
        <v>218</v>
      </c>
      <c r="B29" s="917" t="s">
        <v>1284</v>
      </c>
      <c r="C29" s="3313"/>
      <c r="D29" s="1734">
        <v>1194</v>
      </c>
      <c r="E29" s="1735">
        <v>8.4</v>
      </c>
      <c r="F29" s="1735">
        <v>7.2690000000000001</v>
      </c>
      <c r="G29" s="1735">
        <v>86.535714285714278</v>
      </c>
    </row>
    <row r="30" spans="1:7" ht="37.5" x14ac:dyDescent="0.25">
      <c r="A30" s="917"/>
      <c r="B30" s="917"/>
      <c r="C30" s="919" t="s">
        <v>1285</v>
      </c>
      <c r="D30" s="1736">
        <v>5322</v>
      </c>
      <c r="E30" s="1737">
        <v>53.8</v>
      </c>
      <c r="F30" s="1737">
        <v>53.315999999999995</v>
      </c>
      <c r="G30" s="1738">
        <v>99.100371747211895</v>
      </c>
    </row>
    <row r="31" spans="1:7" ht="29.25" customHeight="1" x14ac:dyDescent="0.25">
      <c r="A31" s="917" t="s">
        <v>218</v>
      </c>
      <c r="B31" s="917" t="s">
        <v>1286</v>
      </c>
      <c r="C31" s="918" t="s">
        <v>244</v>
      </c>
      <c r="D31" s="1734">
        <v>1195.5999999999999</v>
      </c>
      <c r="E31" s="1735">
        <v>8.9499999999999993</v>
      </c>
      <c r="F31" s="1735">
        <v>7.4380000000000006</v>
      </c>
      <c r="G31" s="1735">
        <v>83.106145251396654</v>
      </c>
    </row>
    <row r="32" spans="1:7" ht="29.25" customHeight="1" x14ac:dyDescent="0.25">
      <c r="A32" s="917" t="s">
        <v>218</v>
      </c>
      <c r="B32" s="917" t="s">
        <v>1287</v>
      </c>
      <c r="C32" s="3313" t="s">
        <v>1288</v>
      </c>
      <c r="D32" s="1734">
        <v>660</v>
      </c>
      <c r="E32" s="1735">
        <v>8.7100000000000009</v>
      </c>
      <c r="F32" s="1735">
        <v>2.9039999999999999</v>
      </c>
      <c r="G32" s="1735">
        <v>33.340987370838114</v>
      </c>
    </row>
    <row r="33" spans="1:7" ht="29.25" customHeight="1" x14ac:dyDescent="0.25">
      <c r="A33" s="917" t="s">
        <v>227</v>
      </c>
      <c r="B33" s="917" t="s">
        <v>1289</v>
      </c>
      <c r="C33" s="3313"/>
      <c r="D33" s="1734">
        <v>28</v>
      </c>
      <c r="E33" s="1735">
        <v>2</v>
      </c>
      <c r="F33" s="1735">
        <v>1.0980000000000001</v>
      </c>
      <c r="G33" s="1735">
        <v>54.900000000000006</v>
      </c>
    </row>
    <row r="34" spans="1:7" ht="37.5" x14ac:dyDescent="0.25">
      <c r="A34" s="917"/>
      <c r="B34" s="917"/>
      <c r="C34" s="919" t="s">
        <v>1290</v>
      </c>
      <c r="D34" s="1736">
        <v>688</v>
      </c>
      <c r="E34" s="1737">
        <v>10.71</v>
      </c>
      <c r="F34" s="1737">
        <v>4.0019999999999998</v>
      </c>
      <c r="G34" s="1738">
        <v>37.36694677871148</v>
      </c>
    </row>
    <row r="35" spans="1:7" ht="34.5" customHeight="1" x14ac:dyDescent="0.25">
      <c r="A35" s="917" t="s">
        <v>218</v>
      </c>
      <c r="B35" s="917" t="s">
        <v>1291</v>
      </c>
      <c r="C35" s="918" t="s">
        <v>1292</v>
      </c>
      <c r="D35" s="1734">
        <v>1017</v>
      </c>
      <c r="E35" s="1735">
        <v>11.25</v>
      </c>
      <c r="F35" s="1735">
        <v>11.574000000000002</v>
      </c>
      <c r="G35" s="1735">
        <v>102.88000000000001</v>
      </c>
    </row>
    <row r="36" spans="1:7" ht="29.25" customHeight="1" x14ac:dyDescent="0.25">
      <c r="A36" s="917" t="s">
        <v>218</v>
      </c>
      <c r="B36" s="917" t="s">
        <v>1293</v>
      </c>
      <c r="C36" s="918" t="s">
        <v>1098</v>
      </c>
      <c r="D36" s="1734">
        <v>937</v>
      </c>
      <c r="E36" s="1735">
        <v>7.8</v>
      </c>
      <c r="F36" s="1735">
        <v>7.3419499999999998</v>
      </c>
      <c r="G36" s="1735">
        <v>94.127564102564094</v>
      </c>
    </row>
    <row r="37" spans="1:7" ht="29.25" customHeight="1" x14ac:dyDescent="0.25">
      <c r="A37" s="920"/>
      <c r="B37" s="920" t="s">
        <v>1294</v>
      </c>
      <c r="C37" s="919"/>
      <c r="D37" s="1736">
        <v>10443.179</v>
      </c>
      <c r="E37" s="1737">
        <v>153.12100000000001</v>
      </c>
      <c r="F37" s="1737">
        <v>102.20817392899998</v>
      </c>
      <c r="G37" s="1738">
        <v>66.749938890811819</v>
      </c>
    </row>
    <row r="38" spans="1:7" ht="29.25" customHeight="1" x14ac:dyDescent="0.25">
      <c r="A38" s="3314" t="s">
        <v>2387</v>
      </c>
      <c r="B38" s="3315"/>
      <c r="C38" s="3315"/>
      <c r="D38" s="671"/>
      <c r="E38" s="671"/>
      <c r="F38" s="671"/>
      <c r="G38" s="672"/>
    </row>
    <row r="39" spans="1:7" ht="29.25" customHeight="1" x14ac:dyDescent="0.25">
      <c r="A39" s="3316" t="s">
        <v>1295</v>
      </c>
      <c r="B39" s="3317"/>
      <c r="C39" s="3317"/>
      <c r="D39" s="673"/>
      <c r="E39" s="673"/>
      <c r="F39" s="673"/>
      <c r="G39" s="674"/>
    </row>
    <row r="40" spans="1:7" ht="29.25" customHeight="1" x14ac:dyDescent="0.25">
      <c r="A40" s="3318" t="s">
        <v>2741</v>
      </c>
      <c r="B40" s="3319"/>
      <c r="C40" s="3319"/>
      <c r="D40" s="3319"/>
      <c r="E40" s="3319"/>
      <c r="F40" s="3319"/>
      <c r="G40" s="3320"/>
    </row>
    <row r="41" spans="1:7" ht="29.25" customHeight="1" x14ac:dyDescent="0.25">
      <c r="A41" s="3321"/>
      <c r="B41" s="3322"/>
      <c r="C41" s="3322"/>
      <c r="D41" s="3322"/>
      <c r="E41" s="3322"/>
      <c r="F41" s="3322"/>
      <c r="G41" s="3323"/>
    </row>
    <row r="42" spans="1:7" ht="29.25" customHeight="1" thickBot="1" x14ac:dyDescent="0.3">
      <c r="A42" s="3324"/>
      <c r="B42" s="3325"/>
      <c r="C42" s="3325"/>
      <c r="D42" s="3325"/>
      <c r="E42" s="3325"/>
      <c r="F42" s="3325"/>
      <c r="G42" s="3326"/>
    </row>
    <row r="64" ht="1.5" customHeight="1" x14ac:dyDescent="0.25"/>
  </sheetData>
  <mergeCells count="11">
    <mergeCell ref="C25:C29"/>
    <mergeCell ref="A1:G1"/>
    <mergeCell ref="A2:A3"/>
    <mergeCell ref="B2:B3"/>
    <mergeCell ref="C2:C3"/>
    <mergeCell ref="C4:C23"/>
    <mergeCell ref="C32:C33"/>
    <mergeCell ref="A38:C38"/>
    <mergeCell ref="A39:C39"/>
    <mergeCell ref="A40:G40"/>
    <mergeCell ref="A41:G42"/>
  </mergeCells>
  <pageMargins left="0.70866141732283472" right="0.70866141732283472" top="0.74803149606299213" bottom="0.74803149606299213" header="0.31496062992125984" footer="0.31496062992125984"/>
  <pageSetup paperSize="9" scale="50" orientation="portrait"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677A06-6F03-4B9E-A21A-901F621EC87A}">
  <sheetPr>
    <tabColor theme="0"/>
  </sheetPr>
  <dimension ref="A1:S93"/>
  <sheetViews>
    <sheetView showWhiteSpace="0" view="pageLayout" zoomScale="70" zoomScaleNormal="25" zoomScalePageLayoutView="70" workbookViewId="0">
      <selection activeCell="A81" sqref="A81:C81"/>
    </sheetView>
  </sheetViews>
  <sheetFormatPr defaultColWidth="9.140625" defaultRowHeight="18.75" x14ac:dyDescent="0.3"/>
  <cols>
    <col min="1" max="1" width="16.42578125" style="130" customWidth="1"/>
    <col min="2" max="2" width="69.85546875" style="130" customWidth="1"/>
    <col min="3" max="3" width="18.7109375" style="132" customWidth="1"/>
    <col min="4" max="4" width="18" style="130" customWidth="1"/>
    <col min="5" max="5" width="16.42578125" style="130" customWidth="1"/>
    <col min="6" max="6" width="22.140625" style="130" customWidth="1"/>
    <col min="7" max="7" width="20.28515625" style="130" customWidth="1"/>
    <col min="8" max="8" width="9.28515625" style="130" bestFit="1" customWidth="1"/>
    <col min="9" max="9" width="9.5703125" style="130" bestFit="1" customWidth="1"/>
    <col min="10" max="10" width="13.140625" style="130" hidden="1" customWidth="1"/>
    <col min="11" max="11" width="10.7109375" style="130" hidden="1" customWidth="1"/>
    <col min="12" max="13" width="9.28515625" style="130" hidden="1" customWidth="1"/>
    <col min="14" max="22" width="0" style="130" hidden="1" customWidth="1"/>
    <col min="23" max="16384" width="9.140625" style="130"/>
  </cols>
  <sheetData>
    <row r="1" spans="1:19" ht="35.25" customHeight="1" x14ac:dyDescent="0.3">
      <c r="A1" s="3353" t="s">
        <v>1296</v>
      </c>
      <c r="B1" s="3354"/>
      <c r="C1" s="3354"/>
      <c r="D1" s="3354"/>
      <c r="E1" s="3354"/>
      <c r="F1" s="3354"/>
      <c r="G1" s="3355"/>
    </row>
    <row r="2" spans="1:19" ht="60.75" x14ac:dyDescent="0.3">
      <c r="A2" s="3356" t="s">
        <v>1297</v>
      </c>
      <c r="B2" s="3356" t="s">
        <v>1258</v>
      </c>
      <c r="C2" s="3357" t="s">
        <v>1259</v>
      </c>
      <c r="D2" s="921" t="s">
        <v>1260</v>
      </c>
      <c r="E2" s="921" t="s">
        <v>1261</v>
      </c>
      <c r="F2" s="921" t="s">
        <v>1298</v>
      </c>
      <c r="G2" s="921" t="s">
        <v>1299</v>
      </c>
    </row>
    <row r="3" spans="1:19" ht="45" customHeight="1" x14ac:dyDescent="0.3">
      <c r="A3" s="3356"/>
      <c r="B3" s="3356"/>
      <c r="C3" s="3357"/>
      <c r="D3" s="885" t="s">
        <v>2539</v>
      </c>
      <c r="E3" s="885" t="s">
        <v>2539</v>
      </c>
      <c r="F3" s="885" t="s">
        <v>2479</v>
      </c>
      <c r="G3" s="885" t="s">
        <v>2479</v>
      </c>
    </row>
    <row r="4" spans="1:19" ht="30.75" customHeight="1" x14ac:dyDescent="0.3">
      <c r="A4" s="3358" t="s">
        <v>1300</v>
      </c>
      <c r="B4" s="3358"/>
      <c r="C4" s="3358"/>
      <c r="D4" s="3358"/>
      <c r="E4" s="3358"/>
      <c r="F4" s="3358"/>
      <c r="G4" s="3358"/>
    </row>
    <row r="5" spans="1:19" ht="27" customHeight="1" x14ac:dyDescent="0.3">
      <c r="A5" s="922" t="s">
        <v>218</v>
      </c>
      <c r="B5" s="923" t="s">
        <v>1301</v>
      </c>
      <c r="C5" s="3337" t="s">
        <v>1112</v>
      </c>
      <c r="D5" s="1739">
        <v>1227</v>
      </c>
      <c r="E5" s="1740">
        <v>5.5</v>
      </c>
      <c r="F5" s="1740">
        <v>4.6680000000000001</v>
      </c>
      <c r="G5" s="1741">
        <v>84.872727272727275</v>
      </c>
      <c r="J5" s="224" t="s">
        <v>1301</v>
      </c>
      <c r="K5" s="225" t="b">
        <f t="shared" ref="K5:K24" si="0">EXACT(B5,J5)</f>
        <v>1</v>
      </c>
      <c r="L5" s="226">
        <v>1227</v>
      </c>
      <c r="M5" s="886">
        <v>3.5</v>
      </c>
      <c r="N5" s="130">
        <v>3.0619999999999998</v>
      </c>
      <c r="O5" s="130">
        <v>87.485714285714266</v>
      </c>
      <c r="P5" s="227">
        <f t="shared" ref="P5:S20" si="1">L5-D5</f>
        <v>0</v>
      </c>
      <c r="Q5" s="227">
        <f t="shared" si="1"/>
        <v>-2</v>
      </c>
      <c r="R5" s="227">
        <f t="shared" si="1"/>
        <v>-1.6060000000000003</v>
      </c>
      <c r="S5" s="227">
        <f t="shared" si="1"/>
        <v>2.6129870129869914</v>
      </c>
    </row>
    <row r="6" spans="1:19" ht="26.25" customHeight="1" x14ac:dyDescent="0.3">
      <c r="A6" s="922" t="s">
        <v>218</v>
      </c>
      <c r="B6" s="923" t="s">
        <v>1302</v>
      </c>
      <c r="C6" s="3337"/>
      <c r="D6" s="1739">
        <v>435</v>
      </c>
      <c r="E6" s="1740">
        <v>1.4</v>
      </c>
      <c r="F6" s="1740">
        <v>2.032</v>
      </c>
      <c r="G6" s="1741">
        <v>145.14285714285717</v>
      </c>
      <c r="J6" s="224" t="s">
        <v>1302</v>
      </c>
      <c r="K6" s="225" t="b">
        <f t="shared" si="0"/>
        <v>1</v>
      </c>
      <c r="L6" s="887">
        <v>435</v>
      </c>
      <c r="M6" s="886">
        <v>1.4</v>
      </c>
      <c r="N6" s="130">
        <v>1.8160000000000001</v>
      </c>
      <c r="O6" s="130">
        <v>129.71428571428572</v>
      </c>
      <c r="P6" s="227">
        <f t="shared" si="1"/>
        <v>0</v>
      </c>
      <c r="Q6" s="227">
        <f t="shared" si="1"/>
        <v>0</v>
      </c>
      <c r="R6" s="227">
        <f t="shared" si="1"/>
        <v>-0.21599999999999997</v>
      </c>
      <c r="S6" s="227">
        <f t="shared" si="1"/>
        <v>-15.428571428571445</v>
      </c>
    </row>
    <row r="7" spans="1:19" ht="24.75" customHeight="1" x14ac:dyDescent="0.3">
      <c r="A7" s="922" t="s">
        <v>218</v>
      </c>
      <c r="B7" s="923" t="s">
        <v>1303</v>
      </c>
      <c r="C7" s="3337"/>
      <c r="D7" s="1739">
        <v>526</v>
      </c>
      <c r="E7" s="1740">
        <v>1.25</v>
      </c>
      <c r="F7" s="1740">
        <v>1.72</v>
      </c>
      <c r="G7" s="1741">
        <v>137.6</v>
      </c>
      <c r="J7" s="224" t="s">
        <v>1303</v>
      </c>
      <c r="K7" s="225" t="b">
        <f t="shared" si="0"/>
        <v>1</v>
      </c>
      <c r="L7" s="887">
        <v>526</v>
      </c>
      <c r="M7" s="886">
        <v>1.25</v>
      </c>
      <c r="N7" s="130">
        <v>1.423</v>
      </c>
      <c r="O7" s="130">
        <v>113.84</v>
      </c>
      <c r="P7" s="227">
        <f t="shared" si="1"/>
        <v>0</v>
      </c>
      <c r="Q7" s="227">
        <f t="shared" si="1"/>
        <v>0</v>
      </c>
      <c r="R7" s="227">
        <f t="shared" si="1"/>
        <v>-0.29699999999999993</v>
      </c>
      <c r="S7" s="227">
        <f t="shared" si="1"/>
        <v>-23.759999999999991</v>
      </c>
    </row>
    <row r="8" spans="1:19" ht="29.25" customHeight="1" x14ac:dyDescent="0.3">
      <c r="A8" s="922" t="s">
        <v>218</v>
      </c>
      <c r="B8" s="923" t="s">
        <v>1304</v>
      </c>
      <c r="C8" s="3337"/>
      <c r="D8" s="1739">
        <v>277</v>
      </c>
      <c r="E8" s="1740">
        <v>1.35</v>
      </c>
      <c r="F8" s="1740">
        <v>2.2309999999999999</v>
      </c>
      <c r="G8" s="1741">
        <v>165.25925925925924</v>
      </c>
      <c r="J8" s="224" t="s">
        <v>1304</v>
      </c>
      <c r="K8" s="225" t="b">
        <f t="shared" si="0"/>
        <v>1</v>
      </c>
      <c r="L8" s="887">
        <v>277</v>
      </c>
      <c r="M8" s="886">
        <v>1.35</v>
      </c>
      <c r="N8" s="130">
        <v>1.7589999999999999</v>
      </c>
      <c r="O8" s="130">
        <v>130.29629629629628</v>
      </c>
      <c r="P8" s="227">
        <f t="shared" si="1"/>
        <v>0</v>
      </c>
      <c r="Q8" s="227">
        <f t="shared" si="1"/>
        <v>0</v>
      </c>
      <c r="R8" s="227">
        <f t="shared" si="1"/>
        <v>-0.47199999999999998</v>
      </c>
      <c r="S8" s="227">
        <f t="shared" si="1"/>
        <v>-34.962962962962962</v>
      </c>
    </row>
    <row r="9" spans="1:19" ht="24" customHeight="1" x14ac:dyDescent="0.3">
      <c r="A9" s="922" t="s">
        <v>218</v>
      </c>
      <c r="B9" s="923" t="s">
        <v>1305</v>
      </c>
      <c r="C9" s="3337"/>
      <c r="D9" s="1739">
        <v>79</v>
      </c>
      <c r="E9" s="1740">
        <v>1.1000000000000001</v>
      </c>
      <c r="F9" s="1740">
        <v>0.85099999999999998</v>
      </c>
      <c r="G9" s="1741">
        <v>77.36363636363636</v>
      </c>
      <c r="J9" s="224" t="s">
        <v>1305</v>
      </c>
      <c r="K9" s="225" t="b">
        <f t="shared" si="0"/>
        <v>1</v>
      </c>
      <c r="L9" s="887">
        <v>79</v>
      </c>
      <c r="M9" s="886">
        <v>1.1000000000000001</v>
      </c>
      <c r="N9" s="130">
        <v>0.68899999999999995</v>
      </c>
      <c r="O9" s="130">
        <v>62.636363636363626</v>
      </c>
      <c r="P9" s="227">
        <f t="shared" si="1"/>
        <v>0</v>
      </c>
      <c r="Q9" s="227">
        <f t="shared" si="1"/>
        <v>0</v>
      </c>
      <c r="R9" s="227">
        <f t="shared" si="1"/>
        <v>-0.16200000000000003</v>
      </c>
      <c r="S9" s="227">
        <f t="shared" si="1"/>
        <v>-14.727272727272734</v>
      </c>
    </row>
    <row r="10" spans="1:19" ht="26.25" customHeight="1" x14ac:dyDescent="0.3">
      <c r="A10" s="922" t="s">
        <v>218</v>
      </c>
      <c r="B10" s="923" t="s">
        <v>1306</v>
      </c>
      <c r="C10" s="3337"/>
      <c r="D10" s="1739">
        <v>1644</v>
      </c>
      <c r="E10" s="1740">
        <v>5</v>
      </c>
      <c r="F10" s="1740">
        <v>4.0510000000000002</v>
      </c>
      <c r="G10" s="1741">
        <v>81.02</v>
      </c>
      <c r="J10" s="224" t="s">
        <v>1307</v>
      </c>
      <c r="K10" s="225" t="b">
        <f t="shared" si="0"/>
        <v>0</v>
      </c>
      <c r="L10" s="887">
        <v>1644</v>
      </c>
      <c r="M10" s="886">
        <v>5</v>
      </c>
      <c r="N10" s="130">
        <v>4.5469999999999997</v>
      </c>
      <c r="O10" s="130">
        <v>90.939999999999984</v>
      </c>
      <c r="P10" s="227">
        <f t="shared" si="1"/>
        <v>0</v>
      </c>
      <c r="Q10" s="227">
        <f t="shared" si="1"/>
        <v>0</v>
      </c>
      <c r="R10" s="227">
        <f t="shared" si="1"/>
        <v>0.49599999999999955</v>
      </c>
      <c r="S10" s="227">
        <f t="shared" si="1"/>
        <v>9.9199999999999875</v>
      </c>
    </row>
    <row r="11" spans="1:19" ht="30.75" customHeight="1" x14ac:dyDescent="0.3">
      <c r="A11" s="922" t="s">
        <v>218</v>
      </c>
      <c r="B11" s="923" t="s">
        <v>1308</v>
      </c>
      <c r="C11" s="3337"/>
      <c r="D11" s="1739">
        <v>265</v>
      </c>
      <c r="E11" s="1740">
        <v>2</v>
      </c>
      <c r="F11" s="1740">
        <v>0.84</v>
      </c>
      <c r="G11" s="1741">
        <v>42</v>
      </c>
      <c r="J11" s="224" t="s">
        <v>1308</v>
      </c>
      <c r="K11" s="225" t="b">
        <f t="shared" si="0"/>
        <v>1</v>
      </c>
      <c r="L11" s="887">
        <v>265</v>
      </c>
      <c r="M11" s="886">
        <v>2</v>
      </c>
      <c r="N11" s="130">
        <v>0.69399999999999995</v>
      </c>
      <c r="O11" s="130">
        <v>34.699999999999996</v>
      </c>
      <c r="P11" s="227">
        <f t="shared" si="1"/>
        <v>0</v>
      </c>
      <c r="Q11" s="227">
        <f t="shared" si="1"/>
        <v>0</v>
      </c>
      <c r="R11" s="227">
        <f t="shared" si="1"/>
        <v>-0.14600000000000002</v>
      </c>
      <c r="S11" s="227">
        <f t="shared" si="1"/>
        <v>-7.3000000000000043</v>
      </c>
    </row>
    <row r="12" spans="1:19" ht="30.75" customHeight="1" x14ac:dyDescent="0.3">
      <c r="A12" s="922" t="s">
        <v>218</v>
      </c>
      <c r="B12" s="923" t="s">
        <v>1309</v>
      </c>
      <c r="C12" s="3337"/>
      <c r="D12" s="1739">
        <v>197</v>
      </c>
      <c r="E12" s="1740">
        <v>2.6</v>
      </c>
      <c r="F12" s="1740">
        <v>0.751</v>
      </c>
      <c r="G12" s="1741">
        <v>28.884615384615383</v>
      </c>
      <c r="J12" s="224" t="s">
        <v>1309</v>
      </c>
      <c r="K12" s="225" t="b">
        <f t="shared" si="0"/>
        <v>1</v>
      </c>
      <c r="L12" s="887">
        <v>197</v>
      </c>
      <c r="M12" s="886">
        <v>2.6</v>
      </c>
      <c r="N12" s="130">
        <v>0.81799999999999995</v>
      </c>
      <c r="O12" s="130">
        <v>31.461538461538456</v>
      </c>
      <c r="P12" s="227">
        <f t="shared" si="1"/>
        <v>0</v>
      </c>
      <c r="Q12" s="227">
        <f t="shared" si="1"/>
        <v>0</v>
      </c>
      <c r="R12" s="227">
        <f t="shared" si="1"/>
        <v>6.6999999999999948E-2</v>
      </c>
      <c r="S12" s="227">
        <f t="shared" si="1"/>
        <v>2.5769230769230731</v>
      </c>
    </row>
    <row r="13" spans="1:19" ht="27" customHeight="1" x14ac:dyDescent="0.3">
      <c r="A13" s="922" t="s">
        <v>218</v>
      </c>
      <c r="B13" s="923" t="s">
        <v>1310</v>
      </c>
      <c r="C13" s="3337"/>
      <c r="D13" s="1739">
        <v>311</v>
      </c>
      <c r="E13" s="1740">
        <v>4</v>
      </c>
      <c r="F13" s="1740">
        <v>2.0110000000000001</v>
      </c>
      <c r="G13" s="1741">
        <v>50.274999999999999</v>
      </c>
      <c r="J13" s="224" t="s">
        <v>1311</v>
      </c>
      <c r="K13" s="225" t="b">
        <f t="shared" si="0"/>
        <v>0</v>
      </c>
      <c r="L13" s="887">
        <v>56</v>
      </c>
      <c r="M13" s="3347">
        <v>1.2</v>
      </c>
      <c r="N13" s="130">
        <v>0.48399999999999999</v>
      </c>
      <c r="O13" s="130">
        <v>53.083333333333336</v>
      </c>
      <c r="P13" s="227">
        <f t="shared" si="1"/>
        <v>-255</v>
      </c>
      <c r="Q13" s="227">
        <f t="shared" si="1"/>
        <v>-2.8</v>
      </c>
      <c r="R13" s="227">
        <f t="shared" si="1"/>
        <v>-1.5270000000000001</v>
      </c>
      <c r="S13" s="227">
        <f t="shared" si="1"/>
        <v>2.8083333333333371</v>
      </c>
    </row>
    <row r="14" spans="1:19" ht="30.75" customHeight="1" x14ac:dyDescent="0.3">
      <c r="A14" s="922" t="s">
        <v>218</v>
      </c>
      <c r="B14" s="925" t="s">
        <v>1312</v>
      </c>
      <c r="C14" s="3337"/>
      <c r="D14" s="1739">
        <v>21</v>
      </c>
      <c r="E14" s="1740">
        <v>1.2</v>
      </c>
      <c r="F14" s="1740">
        <v>0.20699999999999999</v>
      </c>
      <c r="G14" s="1741">
        <v>17.25</v>
      </c>
      <c r="J14" s="228" t="s">
        <v>1312</v>
      </c>
      <c r="K14" s="225" t="b">
        <f t="shared" si="0"/>
        <v>1</v>
      </c>
      <c r="L14" s="887">
        <v>21</v>
      </c>
      <c r="M14" s="3348"/>
      <c r="N14" s="130">
        <v>0.153</v>
      </c>
      <c r="P14" s="227">
        <f t="shared" si="1"/>
        <v>0</v>
      </c>
      <c r="Q14" s="227">
        <f t="shared" si="1"/>
        <v>-1.2</v>
      </c>
      <c r="R14" s="227">
        <f t="shared" si="1"/>
        <v>-5.3999999999999992E-2</v>
      </c>
      <c r="S14" s="227">
        <f t="shared" si="1"/>
        <v>-17.25</v>
      </c>
    </row>
    <row r="15" spans="1:19" ht="21" x14ac:dyDescent="0.3">
      <c r="A15" s="922" t="s">
        <v>218</v>
      </c>
      <c r="B15" s="925" t="s">
        <v>1313</v>
      </c>
      <c r="C15" s="3337"/>
      <c r="D15" s="1739">
        <v>147</v>
      </c>
      <c r="E15" s="1740">
        <v>3.7</v>
      </c>
      <c r="F15" s="1740">
        <v>2.1549999999999998</v>
      </c>
      <c r="G15" s="1741">
        <v>58.243243243243228</v>
      </c>
      <c r="J15" s="228" t="s">
        <v>1313</v>
      </c>
      <c r="K15" s="225" t="b">
        <f t="shared" si="0"/>
        <v>1</v>
      </c>
      <c r="L15" s="887">
        <v>147</v>
      </c>
      <c r="M15" s="886">
        <v>3.7</v>
      </c>
      <c r="N15" s="130">
        <v>2.0139999999999998</v>
      </c>
      <c r="O15" s="130">
        <v>54.432432432432421</v>
      </c>
      <c r="P15" s="227">
        <f t="shared" si="1"/>
        <v>0</v>
      </c>
      <c r="Q15" s="227">
        <f t="shared" si="1"/>
        <v>0</v>
      </c>
      <c r="R15" s="227">
        <f t="shared" si="1"/>
        <v>-0.14100000000000001</v>
      </c>
      <c r="S15" s="227">
        <f t="shared" si="1"/>
        <v>-3.810810810810807</v>
      </c>
    </row>
    <row r="16" spans="1:19" ht="52.5" customHeight="1" x14ac:dyDescent="0.3">
      <c r="A16" s="922" t="s">
        <v>218</v>
      </c>
      <c r="B16" s="925" t="s">
        <v>1314</v>
      </c>
      <c r="C16" s="3337"/>
      <c r="D16" s="1739">
        <v>495</v>
      </c>
      <c r="E16" s="1740">
        <v>3.5</v>
      </c>
      <c r="F16" s="1740">
        <v>3.0779999999999998</v>
      </c>
      <c r="G16" s="1741">
        <v>87.942857142857136</v>
      </c>
      <c r="J16" s="228" t="s">
        <v>1314</v>
      </c>
      <c r="K16" s="225" t="b">
        <f t="shared" si="0"/>
        <v>1</v>
      </c>
      <c r="L16" s="887">
        <f>434+61</f>
        <v>495</v>
      </c>
      <c r="M16" s="886">
        <v>3.5</v>
      </c>
      <c r="N16" s="130">
        <v>2.8650000000000002</v>
      </c>
      <c r="O16" s="130">
        <v>81.857142857142861</v>
      </c>
      <c r="P16" s="227">
        <f t="shared" si="1"/>
        <v>0</v>
      </c>
      <c r="Q16" s="227">
        <f t="shared" si="1"/>
        <v>0</v>
      </c>
      <c r="R16" s="227">
        <f t="shared" si="1"/>
        <v>-0.21299999999999963</v>
      </c>
      <c r="S16" s="227">
        <f t="shared" si="1"/>
        <v>-6.0857142857142748</v>
      </c>
    </row>
    <row r="17" spans="1:19" ht="45.75" customHeight="1" x14ac:dyDescent="0.3">
      <c r="A17" s="922" t="s">
        <v>218</v>
      </c>
      <c r="B17" s="923" t="s">
        <v>1315</v>
      </c>
      <c r="C17" s="3337"/>
      <c r="D17" s="1739">
        <v>189</v>
      </c>
      <c r="E17" s="1740">
        <v>3</v>
      </c>
      <c r="F17" s="1740">
        <v>0.23599999999999999</v>
      </c>
      <c r="G17" s="1741">
        <v>7.8666666666666663</v>
      </c>
      <c r="J17" s="224" t="s">
        <v>1315</v>
      </c>
      <c r="K17" s="225" t="b">
        <f t="shared" si="0"/>
        <v>1</v>
      </c>
      <c r="L17" s="887">
        <v>189</v>
      </c>
      <c r="M17" s="3347">
        <v>3</v>
      </c>
      <c r="N17" s="130">
        <v>0.93399999999999994</v>
      </c>
      <c r="O17" s="130">
        <v>31.133333333333333</v>
      </c>
      <c r="P17" s="227">
        <f t="shared" si="1"/>
        <v>0</v>
      </c>
      <c r="Q17" s="227">
        <f t="shared" si="1"/>
        <v>0</v>
      </c>
      <c r="R17" s="227">
        <f t="shared" si="1"/>
        <v>0.69799999999999995</v>
      </c>
      <c r="S17" s="227">
        <f t="shared" si="1"/>
        <v>23.266666666666666</v>
      </c>
    </row>
    <row r="18" spans="1:19" ht="30.75" customHeight="1" x14ac:dyDescent="0.3">
      <c r="A18" s="922" t="s">
        <v>218</v>
      </c>
      <c r="B18" s="925" t="s">
        <v>1316</v>
      </c>
      <c r="C18" s="3337"/>
      <c r="D18" s="1739">
        <v>111</v>
      </c>
      <c r="E18" s="1740">
        <v>1</v>
      </c>
      <c r="F18" s="1740">
        <v>1.111</v>
      </c>
      <c r="G18" s="1741">
        <v>111.1</v>
      </c>
      <c r="J18" s="228" t="s">
        <v>1317</v>
      </c>
      <c r="K18" s="225" t="b">
        <f t="shared" si="0"/>
        <v>0</v>
      </c>
      <c r="L18" s="887">
        <v>111</v>
      </c>
      <c r="M18" s="3348"/>
      <c r="P18" s="227">
        <f t="shared" si="1"/>
        <v>0</v>
      </c>
      <c r="Q18" s="227">
        <f t="shared" si="1"/>
        <v>-1</v>
      </c>
      <c r="R18" s="227">
        <f t="shared" si="1"/>
        <v>-1.111</v>
      </c>
      <c r="S18" s="227"/>
    </row>
    <row r="19" spans="1:19" ht="30.75" customHeight="1" x14ac:dyDescent="0.3">
      <c r="A19" s="922" t="s">
        <v>218</v>
      </c>
      <c r="B19" s="923" t="s">
        <v>1318</v>
      </c>
      <c r="C19" s="3337"/>
      <c r="D19" s="1739">
        <v>219</v>
      </c>
      <c r="E19" s="1740">
        <v>3</v>
      </c>
      <c r="F19" s="1740">
        <v>1.6220000000000001</v>
      </c>
      <c r="G19" s="1741">
        <v>54.06666666666667</v>
      </c>
      <c r="J19" s="224" t="s">
        <v>1319</v>
      </c>
      <c r="K19" s="225" t="b">
        <f t="shared" si="0"/>
        <v>0</v>
      </c>
      <c r="L19" s="887">
        <v>155</v>
      </c>
      <c r="M19" s="886">
        <v>2.1</v>
      </c>
      <c r="N19" s="130">
        <v>1.486</v>
      </c>
      <c r="O19" s="130">
        <v>70.761904761904759</v>
      </c>
      <c r="P19" s="227">
        <f t="shared" si="1"/>
        <v>-64</v>
      </c>
      <c r="Q19" s="227">
        <f t="shared" si="1"/>
        <v>-0.89999999999999991</v>
      </c>
      <c r="R19" s="227">
        <f t="shared" si="1"/>
        <v>-0.13600000000000012</v>
      </c>
      <c r="S19" s="227">
        <f t="shared" si="1"/>
        <v>16.695238095238089</v>
      </c>
    </row>
    <row r="20" spans="1:19" ht="30.75" customHeight="1" x14ac:dyDescent="0.3">
      <c r="A20" s="922" t="s">
        <v>218</v>
      </c>
      <c r="B20" s="923" t="s">
        <v>1319</v>
      </c>
      <c r="C20" s="3337"/>
      <c r="D20" s="1739">
        <v>155</v>
      </c>
      <c r="E20" s="1740">
        <v>2.1</v>
      </c>
      <c r="F20" s="1740">
        <v>1.482</v>
      </c>
      <c r="G20" s="1741">
        <v>70.571428571428569</v>
      </c>
      <c r="J20" s="224" t="s">
        <v>1320</v>
      </c>
      <c r="K20" s="225" t="b">
        <f t="shared" si="0"/>
        <v>0</v>
      </c>
      <c r="L20" s="887">
        <v>683</v>
      </c>
      <c r="M20" s="886">
        <v>2.2999999999999998</v>
      </c>
      <c r="N20" s="130">
        <v>2.5209999999999999</v>
      </c>
      <c r="O20" s="130">
        <v>109.60869565217391</v>
      </c>
      <c r="P20" s="227">
        <f t="shared" si="1"/>
        <v>528</v>
      </c>
      <c r="Q20" s="227">
        <f t="shared" si="1"/>
        <v>0.19999999999999973</v>
      </c>
      <c r="R20" s="227">
        <f t="shared" si="1"/>
        <v>1.0389999999999999</v>
      </c>
      <c r="S20" s="227">
        <f t="shared" si="1"/>
        <v>39.037267080745337</v>
      </c>
    </row>
    <row r="21" spans="1:19" ht="30.75" customHeight="1" x14ac:dyDescent="0.3">
      <c r="A21" s="922" t="s">
        <v>218</v>
      </c>
      <c r="B21" s="925" t="s">
        <v>1320</v>
      </c>
      <c r="C21" s="3337"/>
      <c r="D21" s="1739">
        <v>683</v>
      </c>
      <c r="E21" s="1740">
        <v>3.9</v>
      </c>
      <c r="F21" s="1740">
        <v>2.9079999999999999</v>
      </c>
      <c r="G21" s="1741">
        <v>74.564102564102569</v>
      </c>
      <c r="J21" s="228" t="s">
        <v>1321</v>
      </c>
      <c r="K21" s="225" t="b">
        <f t="shared" si="0"/>
        <v>0</v>
      </c>
      <c r="L21" s="887">
        <v>95</v>
      </c>
      <c r="M21" s="886">
        <v>0.18</v>
      </c>
      <c r="N21" s="130">
        <v>0.153</v>
      </c>
      <c r="O21" s="130">
        <v>85</v>
      </c>
      <c r="P21" s="227">
        <f t="shared" ref="P21:S24" si="2">L21-D21</f>
        <v>-588</v>
      </c>
      <c r="Q21" s="227">
        <f t="shared" si="2"/>
        <v>-3.7199999999999998</v>
      </c>
      <c r="R21" s="227">
        <f t="shared" si="2"/>
        <v>-2.7549999999999999</v>
      </c>
      <c r="S21" s="227">
        <f t="shared" si="2"/>
        <v>10.435897435897431</v>
      </c>
    </row>
    <row r="22" spans="1:19" ht="30.75" customHeight="1" x14ac:dyDescent="0.3">
      <c r="A22" s="922" t="s">
        <v>218</v>
      </c>
      <c r="B22" s="923" t="s">
        <v>1321</v>
      </c>
      <c r="C22" s="3337"/>
      <c r="D22" s="1739">
        <v>95</v>
      </c>
      <c r="E22" s="1740">
        <v>0.18</v>
      </c>
      <c r="F22" s="1740">
        <v>0.27100000000000002</v>
      </c>
      <c r="G22" s="1741">
        <v>150.55555555555557</v>
      </c>
      <c r="J22" s="224" t="s">
        <v>1322</v>
      </c>
      <c r="K22" s="225" t="b">
        <f t="shared" si="0"/>
        <v>0</v>
      </c>
      <c r="L22" s="887">
        <v>290</v>
      </c>
      <c r="M22" s="886">
        <v>2.4500000000000002</v>
      </c>
      <c r="N22" s="130">
        <v>1.893</v>
      </c>
      <c r="O22" s="130">
        <v>77.265306122448976</v>
      </c>
      <c r="P22" s="227">
        <f t="shared" si="2"/>
        <v>195</v>
      </c>
      <c r="Q22" s="227">
        <f t="shared" si="2"/>
        <v>2.27</v>
      </c>
      <c r="R22" s="227">
        <f t="shared" si="2"/>
        <v>1.6219999999999999</v>
      </c>
      <c r="S22" s="227">
        <f t="shared" si="2"/>
        <v>-73.290249433106595</v>
      </c>
    </row>
    <row r="23" spans="1:19" ht="25.5" customHeight="1" x14ac:dyDescent="0.3">
      <c r="A23" s="922" t="s">
        <v>218</v>
      </c>
      <c r="B23" s="923" t="s">
        <v>1322</v>
      </c>
      <c r="C23" s="3337"/>
      <c r="D23" s="1739">
        <v>290</v>
      </c>
      <c r="E23" s="1740">
        <v>2.4500000000000002</v>
      </c>
      <c r="F23" s="1740">
        <v>2.379</v>
      </c>
      <c r="G23" s="1741">
        <v>97.102040816326522</v>
      </c>
      <c r="J23" s="224" t="s">
        <v>1323</v>
      </c>
      <c r="K23" s="225" t="b">
        <f t="shared" si="0"/>
        <v>0</v>
      </c>
      <c r="L23" s="887">
        <v>36</v>
      </c>
      <c r="M23" s="886">
        <v>0.66</v>
      </c>
      <c r="N23" s="130">
        <v>0.35</v>
      </c>
      <c r="O23" s="130">
        <v>53.030303030303024</v>
      </c>
      <c r="P23" s="227">
        <f t="shared" si="2"/>
        <v>-254</v>
      </c>
      <c r="Q23" s="227">
        <f t="shared" si="2"/>
        <v>-1.79</v>
      </c>
      <c r="R23" s="227">
        <f t="shared" si="2"/>
        <v>-2.0289999999999999</v>
      </c>
      <c r="S23" s="227">
        <f t="shared" si="2"/>
        <v>-44.071737786023498</v>
      </c>
    </row>
    <row r="24" spans="1:19" ht="30.75" customHeight="1" x14ac:dyDescent="0.3">
      <c r="A24" s="922" t="s">
        <v>218</v>
      </c>
      <c r="B24" s="925" t="s">
        <v>1323</v>
      </c>
      <c r="C24" s="3337"/>
      <c r="D24" s="1739">
        <v>36</v>
      </c>
      <c r="E24" s="1740">
        <v>0.66</v>
      </c>
      <c r="F24" s="1740">
        <v>0.76700000000000002</v>
      </c>
      <c r="G24" s="1741">
        <v>116.21212121212122</v>
      </c>
      <c r="J24" s="228" t="s">
        <v>1324</v>
      </c>
      <c r="K24" s="225" t="b">
        <f t="shared" si="0"/>
        <v>0</v>
      </c>
      <c r="L24" s="887">
        <v>1073</v>
      </c>
      <c r="M24" s="886">
        <v>5</v>
      </c>
      <c r="N24" s="130">
        <v>3.6320000000000001</v>
      </c>
      <c r="O24" s="130">
        <v>72.64</v>
      </c>
      <c r="P24" s="227">
        <f t="shared" si="2"/>
        <v>1037</v>
      </c>
      <c r="Q24" s="227">
        <f t="shared" si="2"/>
        <v>4.34</v>
      </c>
      <c r="R24" s="227">
        <f t="shared" si="2"/>
        <v>2.8650000000000002</v>
      </c>
      <c r="S24" s="227">
        <f t="shared" si="2"/>
        <v>-43.572121212121218</v>
      </c>
    </row>
    <row r="25" spans="1:19" ht="30.75" customHeight="1" x14ac:dyDescent="0.3">
      <c r="A25" s="922" t="s">
        <v>218</v>
      </c>
      <c r="B25" s="925" t="s">
        <v>1324</v>
      </c>
      <c r="C25" s="3337"/>
      <c r="D25" s="1739">
        <v>1073</v>
      </c>
      <c r="E25" s="1740">
        <v>5</v>
      </c>
      <c r="F25" s="1740">
        <v>4.4770000000000003</v>
      </c>
      <c r="G25" s="1741">
        <v>89.54</v>
      </c>
      <c r="J25" s="229"/>
      <c r="K25" s="225"/>
      <c r="L25" s="887"/>
      <c r="M25" s="886"/>
      <c r="P25" s="227"/>
      <c r="Q25" s="227"/>
      <c r="R25" s="227"/>
      <c r="S25" s="227"/>
    </row>
    <row r="26" spans="1:19" ht="30.75" customHeight="1" x14ac:dyDescent="0.3">
      <c r="A26" s="922" t="s">
        <v>218</v>
      </c>
      <c r="B26" s="925" t="s">
        <v>1325</v>
      </c>
      <c r="C26" s="3337"/>
      <c r="D26" s="1739">
        <v>27</v>
      </c>
      <c r="E26" s="1740">
        <v>0.2</v>
      </c>
      <c r="F26" s="1740">
        <v>0.19500000000000001</v>
      </c>
      <c r="G26" s="1741">
        <v>97.5</v>
      </c>
      <c r="J26" s="229"/>
      <c r="K26" s="225"/>
      <c r="L26" s="887"/>
      <c r="M26" s="886"/>
      <c r="P26" s="227"/>
      <c r="Q26" s="227"/>
      <c r="R26" s="227"/>
      <c r="S26" s="227"/>
    </row>
    <row r="27" spans="1:19" ht="30.75" customHeight="1" x14ac:dyDescent="0.3">
      <c r="A27" s="922" t="s">
        <v>218</v>
      </c>
      <c r="B27" s="925" t="s">
        <v>1326</v>
      </c>
      <c r="C27" s="3337"/>
      <c r="D27" s="1739">
        <v>6</v>
      </c>
      <c r="E27" s="1740">
        <v>0.21</v>
      </c>
      <c r="F27" s="1740">
        <v>7.5999999999999998E-2</v>
      </c>
      <c r="G27" s="1741">
        <v>36.19047619047619</v>
      </c>
      <c r="J27" s="229" t="s">
        <v>1327</v>
      </c>
      <c r="K27" s="225" t="b">
        <f>EXACT(B27,J27)</f>
        <v>0</v>
      </c>
      <c r="L27" s="887">
        <v>27</v>
      </c>
      <c r="M27" s="886">
        <v>0.2</v>
      </c>
      <c r="N27" s="130">
        <v>9.7000000000000003E-2</v>
      </c>
      <c r="O27" s="130">
        <v>48.5</v>
      </c>
      <c r="P27" s="227">
        <f>L27-D27</f>
        <v>21</v>
      </c>
      <c r="Q27" s="227">
        <f>M27-E27</f>
        <v>-9.9999999999999811E-3</v>
      </c>
      <c r="R27" s="227">
        <f>N27-F27</f>
        <v>2.1000000000000005E-2</v>
      </c>
      <c r="S27" s="227">
        <f>O27-G27</f>
        <v>12.30952380952381</v>
      </c>
    </row>
    <row r="28" spans="1:19" ht="30.75" customHeight="1" x14ac:dyDescent="0.3">
      <c r="A28" s="922" t="s">
        <v>218</v>
      </c>
      <c r="B28" s="925" t="s">
        <v>2528</v>
      </c>
      <c r="C28" s="3337"/>
      <c r="D28" s="1739">
        <v>1219</v>
      </c>
      <c r="E28" s="1740">
        <v>4.5</v>
      </c>
      <c r="F28" s="1740">
        <v>2.2210000000000001</v>
      </c>
      <c r="G28" s="1741">
        <v>49.355555555555561</v>
      </c>
      <c r="J28" s="230"/>
      <c r="K28" s="225"/>
      <c r="L28" s="888"/>
      <c r="M28" s="889"/>
      <c r="P28" s="227"/>
      <c r="Q28" s="227"/>
      <c r="R28" s="227"/>
      <c r="S28" s="227"/>
    </row>
    <row r="29" spans="1:19" ht="30.75" customHeight="1" x14ac:dyDescent="0.3">
      <c r="A29" s="922" t="s">
        <v>218</v>
      </c>
      <c r="B29" s="925" t="s">
        <v>1328</v>
      </c>
      <c r="C29" s="3337"/>
      <c r="D29" s="1739">
        <v>341</v>
      </c>
      <c r="E29" s="1740">
        <v>4.5999999999999996</v>
      </c>
      <c r="F29" s="1740">
        <v>0.44600000000000001</v>
      </c>
      <c r="G29" s="1741">
        <v>9.695652173913043</v>
      </c>
      <c r="J29" s="230"/>
      <c r="K29" s="225"/>
      <c r="L29" s="888"/>
      <c r="M29" s="889"/>
      <c r="P29" s="227"/>
      <c r="Q29" s="227"/>
      <c r="R29" s="227"/>
      <c r="S29" s="227"/>
    </row>
    <row r="30" spans="1:19" ht="30.75" customHeight="1" x14ac:dyDescent="0.3">
      <c r="A30" s="922" t="s">
        <v>218</v>
      </c>
      <c r="B30" s="925" t="s">
        <v>2377</v>
      </c>
      <c r="C30" s="3337"/>
      <c r="D30" s="1739">
        <v>752</v>
      </c>
      <c r="E30" s="1740">
        <v>5</v>
      </c>
      <c r="F30" s="1740">
        <v>2.2599999999999998</v>
      </c>
      <c r="G30" s="1741">
        <v>45.199999999999996</v>
      </c>
      <c r="J30" s="230"/>
      <c r="K30" s="225"/>
      <c r="L30" s="888"/>
      <c r="M30" s="889"/>
      <c r="P30" s="227"/>
      <c r="Q30" s="227"/>
      <c r="R30" s="227"/>
      <c r="S30" s="227"/>
    </row>
    <row r="31" spans="1:19" ht="39.75" customHeight="1" x14ac:dyDescent="0.3">
      <c r="A31" s="922" t="s">
        <v>218</v>
      </c>
      <c r="B31" s="925" t="s">
        <v>1329</v>
      </c>
      <c r="C31" s="3337"/>
      <c r="D31" s="1739">
        <v>519</v>
      </c>
      <c r="E31" s="1740">
        <v>3.4</v>
      </c>
      <c r="F31" s="1740">
        <v>0.39900000000000002</v>
      </c>
      <c r="G31" s="1741">
        <v>11.735294117647058</v>
      </c>
      <c r="J31" s="230"/>
      <c r="K31" s="225"/>
      <c r="L31" s="888"/>
      <c r="M31" s="889"/>
      <c r="P31" s="227"/>
      <c r="Q31" s="227"/>
      <c r="R31" s="227"/>
      <c r="S31" s="227"/>
    </row>
    <row r="32" spans="1:19" ht="30.75" customHeight="1" x14ac:dyDescent="0.3">
      <c r="A32" s="922" t="s">
        <v>218</v>
      </c>
      <c r="B32" s="925" t="s">
        <v>2529</v>
      </c>
      <c r="C32" s="3337"/>
      <c r="D32" s="1739">
        <v>15</v>
      </c>
      <c r="E32" s="1740">
        <v>0.12</v>
      </c>
      <c r="F32" s="1740">
        <v>0.05</v>
      </c>
      <c r="G32" s="1741">
        <v>41.666666666666671</v>
      </c>
      <c r="J32" s="230"/>
      <c r="K32" s="225"/>
      <c r="L32" s="888"/>
      <c r="M32" s="889"/>
      <c r="P32" s="227"/>
      <c r="Q32" s="227"/>
      <c r="R32" s="227"/>
      <c r="S32" s="227"/>
    </row>
    <row r="33" spans="1:19" ht="44.25" customHeight="1" x14ac:dyDescent="0.3">
      <c r="A33" s="922"/>
      <c r="B33" s="925"/>
      <c r="C33" s="926" t="s">
        <v>1285</v>
      </c>
      <c r="D33" s="1742">
        <v>11354</v>
      </c>
      <c r="E33" s="1743">
        <v>71.920000000000016</v>
      </c>
      <c r="F33" s="1743">
        <v>45.494999999999997</v>
      </c>
      <c r="G33" s="1744">
        <v>63.257786429365943</v>
      </c>
      <c r="K33" s="225"/>
      <c r="L33" s="227"/>
      <c r="M33" s="131"/>
    </row>
    <row r="34" spans="1:19" ht="48" customHeight="1" x14ac:dyDescent="0.3">
      <c r="A34" s="922" t="s">
        <v>218</v>
      </c>
      <c r="B34" s="925" t="s">
        <v>1330</v>
      </c>
      <c r="C34" s="3337" t="s">
        <v>1098</v>
      </c>
      <c r="D34" s="1739">
        <v>1392</v>
      </c>
      <c r="E34" s="1740">
        <v>6</v>
      </c>
      <c r="F34" s="1740">
        <v>7.9863490000000006</v>
      </c>
      <c r="G34" s="1741">
        <v>133.10581666666667</v>
      </c>
      <c r="K34" s="225"/>
      <c r="L34" s="887">
        <v>1389</v>
      </c>
      <c r="M34" s="886">
        <v>6</v>
      </c>
      <c r="N34" s="130">
        <v>7.068079</v>
      </c>
      <c r="O34" s="130">
        <v>117.80131666666666</v>
      </c>
      <c r="P34" s="227">
        <f t="shared" ref="P34:S45" si="3">L34-D34</f>
        <v>-3</v>
      </c>
      <c r="Q34" s="227">
        <f t="shared" si="3"/>
        <v>0</v>
      </c>
      <c r="R34" s="227">
        <f t="shared" si="3"/>
        <v>-0.91827000000000059</v>
      </c>
      <c r="S34" s="227">
        <f t="shared" si="3"/>
        <v>-15.304500000000004</v>
      </c>
    </row>
    <row r="35" spans="1:19" ht="30.75" customHeight="1" x14ac:dyDescent="0.3">
      <c r="A35" s="922" t="s">
        <v>218</v>
      </c>
      <c r="B35" s="925" t="s">
        <v>1331</v>
      </c>
      <c r="C35" s="3337"/>
      <c r="D35" s="1739">
        <v>211</v>
      </c>
      <c r="E35" s="1740">
        <v>1.7</v>
      </c>
      <c r="F35" s="1740">
        <v>0.32840988699999996</v>
      </c>
      <c r="G35" s="1741">
        <v>19.31822864705882</v>
      </c>
      <c r="K35" s="225"/>
      <c r="L35" s="887">
        <v>211</v>
      </c>
      <c r="M35" s="886">
        <v>1.7</v>
      </c>
      <c r="N35" s="130">
        <v>0.47722300000000001</v>
      </c>
      <c r="O35" s="130">
        <v>28.071941176470588</v>
      </c>
      <c r="P35" s="227">
        <f t="shared" si="3"/>
        <v>0</v>
      </c>
      <c r="Q35" s="227">
        <f t="shared" si="3"/>
        <v>0</v>
      </c>
      <c r="R35" s="227">
        <f t="shared" si="3"/>
        <v>0.14881311300000005</v>
      </c>
      <c r="S35" s="227">
        <f t="shared" si="3"/>
        <v>8.7537125294117679</v>
      </c>
    </row>
    <row r="36" spans="1:19" ht="30.75" customHeight="1" x14ac:dyDescent="0.3">
      <c r="A36" s="922" t="s">
        <v>218</v>
      </c>
      <c r="B36" s="925" t="s">
        <v>1332</v>
      </c>
      <c r="C36" s="3337"/>
      <c r="D36" s="1739">
        <v>259</v>
      </c>
      <c r="E36" s="1740">
        <v>4.4000000000000004</v>
      </c>
      <c r="F36" s="1740">
        <v>2.8773520000000001</v>
      </c>
      <c r="G36" s="1741">
        <v>65.394363636363636</v>
      </c>
      <c r="K36" s="225"/>
      <c r="L36" s="887">
        <v>259</v>
      </c>
      <c r="M36" s="886">
        <v>4.4000000000000004</v>
      </c>
      <c r="N36" s="130">
        <v>3.8239039999999997</v>
      </c>
      <c r="O36" s="130">
        <v>86.906909090909082</v>
      </c>
      <c r="P36" s="227">
        <f t="shared" si="3"/>
        <v>0</v>
      </c>
      <c r="Q36" s="227">
        <f t="shared" si="3"/>
        <v>0</v>
      </c>
      <c r="R36" s="227">
        <f t="shared" si="3"/>
        <v>0.94655199999999962</v>
      </c>
      <c r="S36" s="227">
        <f t="shared" si="3"/>
        <v>21.512545454545446</v>
      </c>
    </row>
    <row r="37" spans="1:19" ht="24.75" customHeight="1" x14ac:dyDescent="0.3">
      <c r="A37" s="922" t="s">
        <v>218</v>
      </c>
      <c r="B37" s="925" t="s">
        <v>1333</v>
      </c>
      <c r="C37" s="3337"/>
      <c r="D37" s="1739">
        <v>356</v>
      </c>
      <c r="E37" s="1740">
        <v>3.5</v>
      </c>
      <c r="F37" s="1740">
        <v>2.0858650000000001</v>
      </c>
      <c r="G37" s="1741">
        <v>59.596142857142851</v>
      </c>
      <c r="K37" s="225"/>
      <c r="L37" s="887">
        <v>355</v>
      </c>
      <c r="M37" s="886">
        <v>3.5</v>
      </c>
      <c r="N37" s="130">
        <v>0.46744300000000005</v>
      </c>
      <c r="O37" s="130">
        <v>13.355514285714285</v>
      </c>
      <c r="P37" s="227">
        <f t="shared" si="3"/>
        <v>-1</v>
      </c>
      <c r="Q37" s="227">
        <f t="shared" si="3"/>
        <v>0</v>
      </c>
      <c r="R37" s="227">
        <f t="shared" si="3"/>
        <v>-1.618422</v>
      </c>
      <c r="S37" s="227">
        <f t="shared" si="3"/>
        <v>-46.240628571428566</v>
      </c>
    </row>
    <row r="38" spans="1:19" ht="30.75" customHeight="1" x14ac:dyDescent="0.3">
      <c r="A38" s="922" t="s">
        <v>218</v>
      </c>
      <c r="B38" s="923" t="s">
        <v>1334</v>
      </c>
      <c r="C38" s="3337"/>
      <c r="D38" s="1739">
        <v>15</v>
      </c>
      <c r="E38" s="1740">
        <v>1</v>
      </c>
      <c r="F38" s="1740">
        <v>0.76185999999999998</v>
      </c>
      <c r="G38" s="1741">
        <v>76.185999999999993</v>
      </c>
      <c r="K38" s="225"/>
      <c r="L38" s="887">
        <v>15</v>
      </c>
      <c r="M38" s="886">
        <v>1.4</v>
      </c>
      <c r="N38" s="130">
        <v>0.34861999999999999</v>
      </c>
      <c r="O38" s="130">
        <v>24.901428571428571</v>
      </c>
      <c r="P38" s="227">
        <f t="shared" si="3"/>
        <v>0</v>
      </c>
      <c r="Q38" s="227">
        <f t="shared" si="3"/>
        <v>0.39999999999999991</v>
      </c>
      <c r="R38" s="227">
        <f t="shared" si="3"/>
        <v>-0.41324</v>
      </c>
      <c r="S38" s="227">
        <f t="shared" si="3"/>
        <v>-51.284571428571425</v>
      </c>
    </row>
    <row r="39" spans="1:19" ht="30.75" customHeight="1" x14ac:dyDescent="0.3">
      <c r="A39" s="922" t="s">
        <v>218</v>
      </c>
      <c r="B39" s="923" t="s">
        <v>1335</v>
      </c>
      <c r="C39" s="3337"/>
      <c r="D39" s="1739">
        <v>34</v>
      </c>
      <c r="E39" s="1740">
        <v>0.6</v>
      </c>
      <c r="F39" s="1740">
        <v>0.62005391046300007</v>
      </c>
      <c r="G39" s="1741">
        <v>103.34231841050001</v>
      </c>
      <c r="K39" s="225"/>
      <c r="L39" s="887">
        <v>34</v>
      </c>
      <c r="M39" s="886">
        <v>0.6</v>
      </c>
      <c r="N39" s="130">
        <v>0.24278910000000001</v>
      </c>
      <c r="O39" s="130">
        <v>40.464849999999998</v>
      </c>
      <c r="P39" s="227">
        <f t="shared" si="3"/>
        <v>0</v>
      </c>
      <c r="Q39" s="227">
        <f t="shared" si="3"/>
        <v>0</v>
      </c>
      <c r="R39" s="227">
        <f t="shared" si="3"/>
        <v>-0.37726481046300009</v>
      </c>
      <c r="S39" s="227">
        <f t="shared" si="3"/>
        <v>-62.877468410500015</v>
      </c>
    </row>
    <row r="40" spans="1:19" ht="25.5" customHeight="1" x14ac:dyDescent="0.3">
      <c r="A40" s="922" t="s">
        <v>218</v>
      </c>
      <c r="B40" s="925" t="s">
        <v>1336</v>
      </c>
      <c r="C40" s="3337"/>
      <c r="D40" s="1739">
        <v>12</v>
      </c>
      <c r="E40" s="1740">
        <v>1.3</v>
      </c>
      <c r="F40" s="1740">
        <v>0.33331000000000005</v>
      </c>
      <c r="G40" s="1741">
        <v>25.639230769230771</v>
      </c>
      <c r="K40" s="225"/>
      <c r="L40" s="887">
        <v>12</v>
      </c>
      <c r="M40" s="886">
        <v>1.3</v>
      </c>
      <c r="N40" s="130">
        <v>0.31872</v>
      </c>
      <c r="O40" s="130">
        <v>24.516923076923074</v>
      </c>
      <c r="P40" s="227">
        <f t="shared" si="3"/>
        <v>0</v>
      </c>
      <c r="Q40" s="227">
        <f t="shared" si="3"/>
        <v>0</v>
      </c>
      <c r="R40" s="227">
        <f t="shared" si="3"/>
        <v>-1.4590000000000047E-2</v>
      </c>
      <c r="S40" s="227">
        <f t="shared" si="3"/>
        <v>-1.1223076923076967</v>
      </c>
    </row>
    <row r="41" spans="1:19" ht="30.75" customHeight="1" x14ac:dyDescent="0.3">
      <c r="A41" s="922" t="s">
        <v>218</v>
      </c>
      <c r="B41" s="925" t="s">
        <v>1337</v>
      </c>
      <c r="C41" s="3337"/>
      <c r="D41" s="1739">
        <v>293</v>
      </c>
      <c r="E41" s="1740">
        <v>3.3</v>
      </c>
      <c r="F41" s="1740">
        <v>4.3260218959149999</v>
      </c>
      <c r="G41" s="1741">
        <v>131.09157260348485</v>
      </c>
      <c r="K41" s="225"/>
      <c r="L41" s="887">
        <v>293</v>
      </c>
      <c r="M41" s="886">
        <v>3.3</v>
      </c>
      <c r="N41" s="130">
        <v>3.6415679999999995</v>
      </c>
      <c r="O41" s="130">
        <v>110.35054545454544</v>
      </c>
      <c r="P41" s="227">
        <f t="shared" si="3"/>
        <v>0</v>
      </c>
      <c r="Q41" s="227">
        <f t="shared" si="3"/>
        <v>0</v>
      </c>
      <c r="R41" s="227">
        <f t="shared" si="3"/>
        <v>-0.68445389591500039</v>
      </c>
      <c r="S41" s="227">
        <f t="shared" si="3"/>
        <v>-20.741027148939409</v>
      </c>
    </row>
    <row r="42" spans="1:19" ht="30.75" customHeight="1" x14ac:dyDescent="0.3">
      <c r="A42" s="922" t="s">
        <v>218</v>
      </c>
      <c r="B42" s="925" t="s">
        <v>2739</v>
      </c>
      <c r="C42" s="922"/>
      <c r="D42" s="1739">
        <v>425</v>
      </c>
      <c r="E42" s="1740">
        <v>2.6</v>
      </c>
      <c r="F42" s="1740">
        <v>5.1119999999999999E-2</v>
      </c>
      <c r="G42" s="1741">
        <v>1.9661538461538459</v>
      </c>
      <c r="K42" s="225"/>
      <c r="L42" s="887"/>
      <c r="M42" s="886"/>
      <c r="P42" s="227"/>
      <c r="Q42" s="227"/>
      <c r="R42" s="227"/>
      <c r="S42" s="227"/>
    </row>
    <row r="43" spans="1:19" ht="38.25" customHeight="1" thickBot="1" x14ac:dyDescent="0.35">
      <c r="A43" s="922"/>
      <c r="B43" s="925"/>
      <c r="C43" s="926" t="s">
        <v>1338</v>
      </c>
      <c r="D43" s="1742">
        <v>2997</v>
      </c>
      <c r="E43" s="1743">
        <v>24.400000000000006</v>
      </c>
      <c r="F43" s="1743">
        <v>19.041931806378003</v>
      </c>
      <c r="G43" s="1744">
        <v>78.040704124499996</v>
      </c>
      <c r="K43" s="225"/>
      <c r="L43" s="886">
        <f>SUM(L34:L41)</f>
        <v>2568</v>
      </c>
      <c r="M43" s="890">
        <f>SUM(M34:M41)</f>
        <v>22.200000000000003</v>
      </c>
      <c r="N43" s="130">
        <v>15.911123099999999</v>
      </c>
      <c r="O43" s="130">
        <v>71.67172567567566</v>
      </c>
      <c r="P43" s="227">
        <f t="shared" si="3"/>
        <v>-429</v>
      </c>
      <c r="Q43" s="227">
        <f t="shared" si="3"/>
        <v>-2.2000000000000028</v>
      </c>
      <c r="R43" s="227">
        <f t="shared" si="3"/>
        <v>-3.1308087063780032</v>
      </c>
      <c r="S43" s="227">
        <f t="shared" si="3"/>
        <v>-6.3689784488243362</v>
      </c>
    </row>
    <row r="44" spans="1:19" ht="27.75" customHeight="1" x14ac:dyDescent="0.3">
      <c r="A44" s="922" t="s">
        <v>218</v>
      </c>
      <c r="B44" s="925" t="s">
        <v>1339</v>
      </c>
      <c r="C44" s="3349" t="s">
        <v>1099</v>
      </c>
      <c r="D44" s="1739">
        <v>508</v>
      </c>
      <c r="E44" s="1740">
        <v>4.3</v>
      </c>
      <c r="F44" s="1740">
        <v>3.3872109428349999</v>
      </c>
      <c r="G44" s="1741">
        <v>78.772347507790698</v>
      </c>
      <c r="J44" s="231" t="s">
        <v>1339</v>
      </c>
      <c r="K44" s="225" t="b">
        <f>EXACT(B44,J44)</f>
        <v>1</v>
      </c>
      <c r="L44" s="227"/>
      <c r="M44" s="131"/>
      <c r="P44" s="227">
        <f t="shared" si="3"/>
        <v>-508</v>
      </c>
      <c r="Q44" s="227">
        <f t="shared" si="3"/>
        <v>-4.3</v>
      </c>
      <c r="R44" s="227">
        <f t="shared" si="3"/>
        <v>-3.3872109428349999</v>
      </c>
      <c r="S44" s="227">
        <f t="shared" si="3"/>
        <v>-78.772347507790698</v>
      </c>
    </row>
    <row r="45" spans="1:19" ht="33.75" customHeight="1" x14ac:dyDescent="0.3">
      <c r="A45" s="922" t="s">
        <v>218</v>
      </c>
      <c r="B45" s="925" t="s">
        <v>1340</v>
      </c>
      <c r="C45" s="3350"/>
      <c r="D45" s="1739">
        <v>572</v>
      </c>
      <c r="E45" s="1740">
        <v>7.7</v>
      </c>
      <c r="F45" s="1740">
        <v>6.2705442949929999</v>
      </c>
      <c r="G45" s="1741">
        <v>81.435640194714281</v>
      </c>
      <c r="J45" s="228" t="s">
        <v>1341</v>
      </c>
      <c r="K45" s="225" t="b">
        <f>EXACT(B45,J45)</f>
        <v>0</v>
      </c>
      <c r="L45" s="227"/>
      <c r="M45" s="131"/>
      <c r="P45" s="227">
        <f t="shared" si="3"/>
        <v>-572</v>
      </c>
      <c r="Q45" s="227">
        <f t="shared" si="3"/>
        <v>-7.7</v>
      </c>
      <c r="R45" s="227">
        <f t="shared" si="3"/>
        <v>-6.2705442949929999</v>
      </c>
      <c r="S45" s="227">
        <f t="shared" si="3"/>
        <v>-81.435640194714281</v>
      </c>
    </row>
    <row r="46" spans="1:19" ht="28.5" customHeight="1" x14ac:dyDescent="0.3">
      <c r="A46" s="922" t="s">
        <v>218</v>
      </c>
      <c r="B46" s="925" t="s">
        <v>1342</v>
      </c>
      <c r="C46" s="3350"/>
      <c r="D46" s="1739">
        <v>697</v>
      </c>
      <c r="E46" s="1740"/>
      <c r="F46" s="1740"/>
      <c r="G46" s="1740"/>
      <c r="J46" s="230"/>
      <c r="K46" s="225"/>
      <c r="L46" s="227"/>
      <c r="M46" s="131"/>
    </row>
    <row r="47" spans="1:19" ht="33.75" customHeight="1" x14ac:dyDescent="0.3">
      <c r="A47" s="922" t="s">
        <v>218</v>
      </c>
      <c r="B47" s="925" t="s">
        <v>1343</v>
      </c>
      <c r="C47" s="3350"/>
      <c r="D47" s="1739">
        <v>1054</v>
      </c>
      <c r="E47" s="1740">
        <v>6.9</v>
      </c>
      <c r="F47" s="1740">
        <v>4.7204360598376001</v>
      </c>
      <c r="G47" s="1741">
        <v>68.412116809240572</v>
      </c>
      <c r="J47" s="228" t="s">
        <v>1343</v>
      </c>
      <c r="K47" s="225" t="b">
        <f t="shared" ref="K47:K52" si="4">EXACT(B47,J47)</f>
        <v>1</v>
      </c>
      <c r="L47" s="227"/>
      <c r="M47" s="131"/>
      <c r="P47" s="227">
        <f t="shared" ref="P47:S48" si="5">L47-D47</f>
        <v>-1054</v>
      </c>
      <c r="Q47" s="227">
        <f t="shared" si="5"/>
        <v>-6.9</v>
      </c>
      <c r="R47" s="227">
        <f t="shared" si="5"/>
        <v>-4.7204360598376001</v>
      </c>
      <c r="S47" s="227">
        <f t="shared" si="5"/>
        <v>-68.412116809240572</v>
      </c>
    </row>
    <row r="48" spans="1:19" ht="33.75" customHeight="1" x14ac:dyDescent="0.3">
      <c r="A48" s="922" t="s">
        <v>218</v>
      </c>
      <c r="B48" s="925" t="s">
        <v>1344</v>
      </c>
      <c r="C48" s="3350"/>
      <c r="D48" s="1739">
        <v>93</v>
      </c>
      <c r="E48" s="1740"/>
      <c r="F48" s="1740"/>
      <c r="G48" s="1740"/>
      <c r="J48" s="228" t="s">
        <v>1344</v>
      </c>
      <c r="K48" s="225" t="b">
        <f t="shared" si="4"/>
        <v>1</v>
      </c>
      <c r="L48" s="227"/>
      <c r="M48" s="131"/>
      <c r="P48" s="227">
        <f t="shared" si="5"/>
        <v>-93</v>
      </c>
      <c r="Q48" s="227">
        <f t="shared" si="5"/>
        <v>0</v>
      </c>
      <c r="R48" s="227">
        <f t="shared" si="5"/>
        <v>0</v>
      </c>
      <c r="S48" s="227">
        <f t="shared" si="5"/>
        <v>0</v>
      </c>
    </row>
    <row r="49" spans="1:19" ht="33.75" customHeight="1" thickBot="1" x14ac:dyDescent="0.35">
      <c r="A49" s="922" t="s">
        <v>218</v>
      </c>
      <c r="B49" s="925" t="s">
        <v>1345</v>
      </c>
      <c r="C49" s="3350"/>
      <c r="D49" s="1739">
        <v>235</v>
      </c>
      <c r="E49" s="1740"/>
      <c r="F49" s="1740"/>
      <c r="G49" s="1740"/>
      <c r="J49" s="232" t="s">
        <v>1345</v>
      </c>
      <c r="K49" s="225" t="b">
        <f t="shared" si="4"/>
        <v>1</v>
      </c>
      <c r="L49" s="227"/>
      <c r="M49" s="131"/>
    </row>
    <row r="50" spans="1:19" ht="42" customHeight="1" x14ac:dyDescent="0.3">
      <c r="A50" s="922" t="s">
        <v>218</v>
      </c>
      <c r="B50" s="925" t="s">
        <v>1346</v>
      </c>
      <c r="C50" s="3350"/>
      <c r="D50" s="1739">
        <v>243</v>
      </c>
      <c r="E50" s="1740">
        <v>7.11</v>
      </c>
      <c r="F50" s="1740">
        <v>5.7291462075446935</v>
      </c>
      <c r="G50" s="1741">
        <v>80.578708966873336</v>
      </c>
      <c r="J50" s="228" t="s">
        <v>1346</v>
      </c>
      <c r="K50" s="225" t="b">
        <f t="shared" si="4"/>
        <v>1</v>
      </c>
      <c r="L50" s="227"/>
      <c r="M50" s="131"/>
      <c r="P50" s="227">
        <f t="shared" ref="P50:S51" si="6">L50-D50</f>
        <v>-243</v>
      </c>
      <c r="Q50" s="227">
        <f t="shared" si="6"/>
        <v>-7.11</v>
      </c>
      <c r="R50" s="227">
        <f t="shared" si="6"/>
        <v>-5.7291462075446935</v>
      </c>
      <c r="S50" s="227">
        <f t="shared" si="6"/>
        <v>-80.578708966873336</v>
      </c>
    </row>
    <row r="51" spans="1:19" ht="33.75" customHeight="1" x14ac:dyDescent="0.3">
      <c r="A51" s="922" t="s">
        <v>218</v>
      </c>
      <c r="B51" s="925" t="s">
        <v>1347</v>
      </c>
      <c r="C51" s="3350"/>
      <c r="D51" s="1739">
        <v>14</v>
      </c>
      <c r="E51" s="1740"/>
      <c r="F51" s="1740"/>
      <c r="G51" s="1740"/>
      <c r="J51" s="228" t="s">
        <v>1347</v>
      </c>
      <c r="K51" s="225" t="b">
        <f t="shared" si="4"/>
        <v>1</v>
      </c>
      <c r="L51" s="227"/>
      <c r="M51" s="131"/>
      <c r="P51" s="227">
        <f t="shared" si="6"/>
        <v>-14</v>
      </c>
      <c r="Q51" s="227">
        <f t="shared" si="6"/>
        <v>0</v>
      </c>
      <c r="R51" s="227">
        <f t="shared" si="6"/>
        <v>0</v>
      </c>
      <c r="S51" s="227">
        <f t="shared" si="6"/>
        <v>0</v>
      </c>
    </row>
    <row r="52" spans="1:19" ht="33.75" customHeight="1" x14ac:dyDescent="0.3">
      <c r="A52" s="922" t="s">
        <v>218</v>
      </c>
      <c r="B52" s="925" t="s">
        <v>1348</v>
      </c>
      <c r="C52" s="3350"/>
      <c r="D52" s="1739">
        <v>443</v>
      </c>
      <c r="E52" s="1740"/>
      <c r="F52" s="1740"/>
      <c r="G52" s="1740"/>
      <c r="J52" s="228" t="s">
        <v>1348</v>
      </c>
      <c r="K52" s="225" t="b">
        <f t="shared" si="4"/>
        <v>1</v>
      </c>
      <c r="L52" s="227"/>
      <c r="M52" s="131"/>
    </row>
    <row r="53" spans="1:19" ht="33.75" customHeight="1" x14ac:dyDescent="0.3">
      <c r="A53" s="922" t="s">
        <v>218</v>
      </c>
      <c r="B53" s="925" t="s">
        <v>2378</v>
      </c>
      <c r="C53" s="3350"/>
      <c r="D53" s="1739">
        <v>10</v>
      </c>
      <c r="E53" s="1740"/>
      <c r="F53" s="1740"/>
      <c r="G53" s="1740"/>
      <c r="J53" s="230"/>
      <c r="K53" s="225"/>
      <c r="L53" s="227"/>
      <c r="M53" s="131"/>
    </row>
    <row r="54" spans="1:19" ht="33.75" customHeight="1" x14ac:dyDescent="0.3">
      <c r="A54" s="922" t="s">
        <v>218</v>
      </c>
      <c r="B54" s="925" t="s">
        <v>1349</v>
      </c>
      <c r="C54" s="3350"/>
      <c r="D54" s="1739">
        <v>30</v>
      </c>
      <c r="E54" s="1740">
        <v>2.1</v>
      </c>
      <c r="F54" s="1740">
        <v>1.1253873128032454</v>
      </c>
      <c r="G54" s="1741">
        <v>53.58987203824978</v>
      </c>
      <c r="J54" s="228" t="s">
        <v>1349</v>
      </c>
      <c r="K54" s="225" t="b">
        <f>EXACT(B54,J54)</f>
        <v>1</v>
      </c>
      <c r="L54" s="227"/>
      <c r="M54" s="131"/>
      <c r="P54" s="227">
        <f>L54-D54</f>
        <v>-30</v>
      </c>
      <c r="Q54" s="227">
        <f>M54-E54</f>
        <v>-2.1</v>
      </c>
      <c r="R54" s="227">
        <f>N54-F54</f>
        <v>-1.1253873128032454</v>
      </c>
      <c r="S54" s="227">
        <f>O54-G54</f>
        <v>-53.58987203824978</v>
      </c>
    </row>
    <row r="55" spans="1:19" ht="42" customHeight="1" x14ac:dyDescent="0.3">
      <c r="A55" s="922" t="s">
        <v>218</v>
      </c>
      <c r="B55" s="925" t="s">
        <v>1350</v>
      </c>
      <c r="C55" s="3350"/>
      <c r="D55" s="1739">
        <v>19.649999999999999</v>
      </c>
      <c r="E55" s="1740">
        <v>0.5</v>
      </c>
      <c r="F55" s="1740">
        <v>0.49641200000000002</v>
      </c>
      <c r="G55" s="1741">
        <v>99.282399999999996</v>
      </c>
      <c r="J55" s="228" t="s">
        <v>1350</v>
      </c>
      <c r="K55" s="225" t="b">
        <f>EXACT(B55,J55)</f>
        <v>1</v>
      </c>
      <c r="L55" s="227"/>
      <c r="M55" s="131"/>
    </row>
    <row r="56" spans="1:19" ht="33.75" customHeight="1" x14ac:dyDescent="0.3">
      <c r="A56" s="922" t="s">
        <v>218</v>
      </c>
      <c r="B56" s="925" t="s">
        <v>1351</v>
      </c>
      <c r="C56" s="3350"/>
      <c r="D56" s="1739">
        <v>21.5</v>
      </c>
      <c r="E56" s="1740">
        <v>1.5</v>
      </c>
      <c r="F56" s="1740">
        <v>1.6805477522879999</v>
      </c>
      <c r="G56" s="1741">
        <v>112.0365168192</v>
      </c>
      <c r="J56" s="228" t="s">
        <v>1351</v>
      </c>
      <c r="K56" s="225" t="b">
        <f>EXACT(B56,J56)</f>
        <v>1</v>
      </c>
      <c r="L56" s="227"/>
      <c r="M56" s="131"/>
    </row>
    <row r="57" spans="1:19" ht="44.25" customHeight="1" x14ac:dyDescent="0.3">
      <c r="A57" s="922" t="s">
        <v>218</v>
      </c>
      <c r="B57" s="925" t="s">
        <v>1352</v>
      </c>
      <c r="C57" s="3350"/>
      <c r="D57" s="1739">
        <v>17</v>
      </c>
      <c r="E57" s="1740">
        <v>1</v>
      </c>
      <c r="F57" s="1740">
        <v>0.52817799999999993</v>
      </c>
      <c r="G57" s="1741">
        <v>52.817799999999991</v>
      </c>
      <c r="J57" s="228" t="s">
        <v>1352</v>
      </c>
      <c r="K57" s="225" t="b">
        <f>EXACT(B57,J57)</f>
        <v>1</v>
      </c>
      <c r="L57" s="227"/>
      <c r="M57" s="131"/>
    </row>
    <row r="58" spans="1:19" ht="44.25" customHeight="1" x14ac:dyDescent="0.3">
      <c r="A58" s="922" t="s">
        <v>218</v>
      </c>
      <c r="B58" s="925" t="s">
        <v>2443</v>
      </c>
      <c r="C58" s="3351"/>
      <c r="D58" s="1739">
        <v>90</v>
      </c>
      <c r="E58" s="1740">
        <v>1.4</v>
      </c>
      <c r="F58" s="1740">
        <v>0</v>
      </c>
      <c r="G58" s="1741" t="s">
        <v>18</v>
      </c>
      <c r="J58" s="230"/>
      <c r="K58" s="225"/>
      <c r="L58" s="227"/>
      <c r="M58" s="131"/>
    </row>
    <row r="59" spans="1:19" ht="44.25" customHeight="1" x14ac:dyDescent="0.3">
      <c r="A59" s="922" t="s">
        <v>218</v>
      </c>
      <c r="B59" s="925" t="s">
        <v>2740</v>
      </c>
      <c r="C59" s="1721"/>
      <c r="D59" s="1739">
        <v>216</v>
      </c>
      <c r="E59" s="1740">
        <v>6</v>
      </c>
      <c r="F59" s="1740">
        <v>0</v>
      </c>
      <c r="G59" s="1741" t="s">
        <v>18</v>
      </c>
      <c r="J59" s="230"/>
      <c r="K59" s="225"/>
      <c r="L59" s="227"/>
      <c r="M59" s="131"/>
    </row>
    <row r="60" spans="1:19" ht="46.5" customHeight="1" x14ac:dyDescent="0.3">
      <c r="A60" s="922"/>
      <c r="B60" s="925"/>
      <c r="C60" s="926" t="s">
        <v>1353</v>
      </c>
      <c r="D60" s="1742">
        <v>4263.1499999999996</v>
      </c>
      <c r="E60" s="1743">
        <v>38.51</v>
      </c>
      <c r="F60" s="1743">
        <v>23.937862570301537</v>
      </c>
      <c r="G60" s="1744">
        <v>62.160120930411679</v>
      </c>
      <c r="K60" s="225"/>
      <c r="L60" s="886"/>
      <c r="M60" s="890"/>
      <c r="P60" s="227"/>
      <c r="Q60" s="227"/>
      <c r="R60" s="227"/>
      <c r="S60" s="227"/>
    </row>
    <row r="61" spans="1:19" ht="42" customHeight="1" x14ac:dyDescent="0.3">
      <c r="A61" s="922" t="s">
        <v>218</v>
      </c>
      <c r="B61" s="923" t="s">
        <v>1354</v>
      </c>
      <c r="C61" s="922" t="s">
        <v>1355</v>
      </c>
      <c r="D61" s="1739">
        <v>363</v>
      </c>
      <c r="E61" s="1740">
        <v>5.6</v>
      </c>
      <c r="F61" s="1740">
        <v>4.0659999999999998</v>
      </c>
      <c r="G61" s="1741">
        <v>72.607142857142861</v>
      </c>
      <c r="K61" s="225"/>
      <c r="L61" s="227"/>
      <c r="M61" s="131"/>
    </row>
    <row r="62" spans="1:19" ht="33.75" customHeight="1" x14ac:dyDescent="0.3">
      <c r="A62" s="922" t="s">
        <v>218</v>
      </c>
      <c r="B62" s="923" t="s">
        <v>1356</v>
      </c>
      <c r="C62" s="922" t="s">
        <v>244</v>
      </c>
      <c r="D62" s="1739">
        <v>654</v>
      </c>
      <c r="E62" s="1740">
        <v>1.72</v>
      </c>
      <c r="F62" s="1740">
        <v>1.7240000000000002</v>
      </c>
      <c r="G62" s="1741">
        <v>100.2325581395349</v>
      </c>
      <c r="K62" s="225"/>
      <c r="L62" s="227"/>
      <c r="M62" s="131"/>
    </row>
    <row r="63" spans="1:19" ht="33.75" customHeight="1" x14ac:dyDescent="0.3">
      <c r="A63" s="3337" t="s">
        <v>1357</v>
      </c>
      <c r="B63" s="3337"/>
      <c r="C63" s="3337"/>
      <c r="D63" s="1742">
        <v>19631.150000000001</v>
      </c>
      <c r="E63" s="1743">
        <v>142.15</v>
      </c>
      <c r="F63" s="1743">
        <v>94.264794376679532</v>
      </c>
      <c r="G63" s="1744">
        <v>66.313608425381304</v>
      </c>
      <c r="K63" s="225"/>
      <c r="L63" s="227"/>
      <c r="M63" s="131"/>
    </row>
    <row r="64" spans="1:19" ht="33.75" customHeight="1" x14ac:dyDescent="0.3">
      <c r="A64" s="3352" t="s">
        <v>1358</v>
      </c>
      <c r="B64" s="3352"/>
      <c r="C64" s="3352"/>
      <c r="D64" s="3352"/>
      <c r="E64" s="3352"/>
      <c r="F64" s="3352"/>
      <c r="G64" s="3352"/>
      <c r="K64" s="225"/>
      <c r="L64" s="227"/>
      <c r="M64" s="131"/>
    </row>
    <row r="65" spans="1:13" ht="33.75" customHeight="1" x14ac:dyDescent="0.3">
      <c r="A65" s="922" t="s">
        <v>218</v>
      </c>
      <c r="B65" s="923" t="s">
        <v>1359</v>
      </c>
      <c r="C65" s="3337" t="s">
        <v>1112</v>
      </c>
      <c r="D65" s="891">
        <v>280</v>
      </c>
      <c r="E65" s="892">
        <v>0.7</v>
      </c>
      <c r="F65" s="892">
        <v>0.67200000000000004</v>
      </c>
      <c r="G65" s="924">
        <v>96.000000000000014</v>
      </c>
      <c r="K65" s="225"/>
      <c r="L65" s="227"/>
      <c r="M65" s="131"/>
    </row>
    <row r="66" spans="1:13" ht="21" x14ac:dyDescent="0.3">
      <c r="A66" s="922" t="s">
        <v>218</v>
      </c>
      <c r="B66" s="923" t="s">
        <v>1360</v>
      </c>
      <c r="C66" s="3337"/>
      <c r="D66" s="891">
        <v>1710</v>
      </c>
      <c r="E66" s="892">
        <v>3.5</v>
      </c>
      <c r="F66" s="892">
        <v>3.0350000000000001</v>
      </c>
      <c r="G66" s="924">
        <v>86.714285714285708</v>
      </c>
      <c r="K66" s="225"/>
      <c r="L66" s="227"/>
      <c r="M66" s="131"/>
    </row>
    <row r="67" spans="1:13" ht="33.75" customHeight="1" x14ac:dyDescent="0.3">
      <c r="A67" s="922"/>
      <c r="B67" s="925"/>
      <c r="C67" s="926" t="s">
        <v>1285</v>
      </c>
      <c r="D67" s="927">
        <v>1990</v>
      </c>
      <c r="E67" s="928">
        <v>4.2</v>
      </c>
      <c r="F67" s="928">
        <v>3.7070000000000003</v>
      </c>
      <c r="G67" s="929">
        <v>88.261904761904759</v>
      </c>
      <c r="K67" s="225"/>
      <c r="L67" s="227"/>
      <c r="M67" s="131"/>
    </row>
    <row r="68" spans="1:13" ht="33.75" customHeight="1" x14ac:dyDescent="0.3">
      <c r="A68" s="931" t="s">
        <v>1361</v>
      </c>
      <c r="B68" s="931" t="s">
        <v>1362</v>
      </c>
      <c r="C68" s="922" t="s">
        <v>1098</v>
      </c>
      <c r="D68" s="891">
        <v>28</v>
      </c>
      <c r="E68" s="892">
        <v>0.8</v>
      </c>
      <c r="F68" s="892">
        <v>0.84689999999999988</v>
      </c>
      <c r="G68" s="924">
        <v>105.86249999999998</v>
      </c>
      <c r="K68" s="225"/>
      <c r="L68" s="227"/>
      <c r="M68" s="131"/>
    </row>
    <row r="69" spans="1:13" ht="33.75" customHeight="1" x14ac:dyDescent="0.3">
      <c r="A69" s="932" t="s">
        <v>218</v>
      </c>
      <c r="B69" s="932" t="s">
        <v>1363</v>
      </c>
      <c r="C69" s="3338" t="s">
        <v>1197</v>
      </c>
      <c r="D69" s="891">
        <v>1427</v>
      </c>
      <c r="E69" s="892">
        <v>3.25</v>
      </c>
      <c r="F69" s="892">
        <v>3.2659465929999998</v>
      </c>
      <c r="G69" s="924">
        <v>100.49066439999999</v>
      </c>
      <c r="K69" s="225"/>
      <c r="L69" s="227"/>
      <c r="M69" s="131"/>
    </row>
    <row r="70" spans="1:13" ht="33.75" customHeight="1" x14ac:dyDescent="0.3">
      <c r="A70" s="932" t="s">
        <v>218</v>
      </c>
      <c r="B70" s="932" t="s">
        <v>1364</v>
      </c>
      <c r="C70" s="3338"/>
      <c r="D70" s="891">
        <v>609</v>
      </c>
      <c r="E70" s="892">
        <v>1.33</v>
      </c>
      <c r="F70" s="892">
        <v>1.3351139700000001</v>
      </c>
      <c r="G70" s="924">
        <v>100.38450902255639</v>
      </c>
      <c r="K70" s="225"/>
      <c r="L70" s="227"/>
      <c r="M70" s="131"/>
    </row>
    <row r="71" spans="1:13" ht="33.75" customHeight="1" x14ac:dyDescent="0.3">
      <c r="A71" s="922"/>
      <c r="B71" s="925"/>
      <c r="C71" s="926" t="s">
        <v>1365</v>
      </c>
      <c r="D71" s="927">
        <v>2036</v>
      </c>
      <c r="E71" s="928">
        <v>4.58</v>
      </c>
      <c r="F71" s="928">
        <v>4.6010605629999999</v>
      </c>
      <c r="G71" s="929">
        <v>100.45983762008733</v>
      </c>
      <c r="K71" s="225"/>
      <c r="L71" s="227"/>
      <c r="M71" s="131"/>
    </row>
    <row r="72" spans="1:13" ht="33.75" customHeight="1" x14ac:dyDescent="0.3">
      <c r="A72" s="930" t="s">
        <v>218</v>
      </c>
      <c r="B72" s="925" t="s">
        <v>1366</v>
      </c>
      <c r="C72" s="3337" t="s">
        <v>1099</v>
      </c>
      <c r="D72" s="891">
        <v>356</v>
      </c>
      <c r="E72" s="892">
        <v>3.1</v>
      </c>
      <c r="F72" s="892">
        <v>2.0479600900000001</v>
      </c>
      <c r="G72" s="924">
        <v>66.063228709677418</v>
      </c>
      <c r="K72" s="225"/>
      <c r="L72" s="227"/>
      <c r="M72" s="131"/>
    </row>
    <row r="73" spans="1:13" ht="33.75" customHeight="1" x14ac:dyDescent="0.3">
      <c r="A73" s="930" t="s">
        <v>218</v>
      </c>
      <c r="B73" s="925" t="s">
        <v>1367</v>
      </c>
      <c r="C73" s="3337"/>
      <c r="D73" s="891">
        <v>649</v>
      </c>
      <c r="E73" s="892"/>
      <c r="F73" s="892"/>
      <c r="G73" s="924"/>
      <c r="K73" s="225"/>
      <c r="L73" s="227"/>
      <c r="M73" s="131"/>
    </row>
    <row r="74" spans="1:13" ht="33.75" customHeight="1" x14ac:dyDescent="0.3">
      <c r="A74" s="930" t="s">
        <v>218</v>
      </c>
      <c r="B74" s="925" t="s">
        <v>1368</v>
      </c>
      <c r="C74" s="3337"/>
      <c r="D74" s="891">
        <v>171.2</v>
      </c>
      <c r="E74" s="892">
        <v>1</v>
      </c>
      <c r="F74" s="892">
        <v>1.1716765899999999</v>
      </c>
      <c r="G74" s="924">
        <v>117.16765899999999</v>
      </c>
      <c r="K74" s="225"/>
      <c r="L74" s="227"/>
      <c r="M74" s="131"/>
    </row>
    <row r="75" spans="1:13" ht="41.25" customHeight="1" x14ac:dyDescent="0.3">
      <c r="A75" s="933"/>
      <c r="B75" s="934"/>
      <c r="C75" s="638" t="s">
        <v>1353</v>
      </c>
      <c r="D75" s="935">
        <v>1176.2</v>
      </c>
      <c r="E75" s="936">
        <v>4.0999999999999996</v>
      </c>
      <c r="F75" s="936">
        <v>3.2196366799999998</v>
      </c>
      <c r="G75" s="937">
        <v>78.527723902439035</v>
      </c>
      <c r="K75" s="225"/>
      <c r="L75" s="227"/>
      <c r="M75" s="131"/>
    </row>
    <row r="76" spans="1:13" ht="33.75" customHeight="1" x14ac:dyDescent="0.3">
      <c r="A76" s="3339" t="s">
        <v>1369</v>
      </c>
      <c r="B76" s="3339"/>
      <c r="C76" s="3339"/>
      <c r="D76" s="935">
        <v>5230.2</v>
      </c>
      <c r="E76" s="936">
        <v>13.68</v>
      </c>
      <c r="F76" s="936">
        <v>12.374597243</v>
      </c>
      <c r="G76" s="937">
        <v>90.457582185672507</v>
      </c>
      <c r="K76" s="225"/>
      <c r="L76" s="227"/>
      <c r="M76" s="131"/>
    </row>
    <row r="77" spans="1:13" ht="33.75" customHeight="1" x14ac:dyDescent="0.3">
      <c r="A77" s="3339" t="s">
        <v>1370</v>
      </c>
      <c r="B77" s="3339"/>
      <c r="C77" s="3339"/>
      <c r="D77" s="935">
        <v>24861.350000000002</v>
      </c>
      <c r="E77" s="936">
        <v>155.83000000000001</v>
      </c>
      <c r="F77" s="936">
        <v>106.63939161967953</v>
      </c>
      <c r="G77" s="937">
        <v>68.43315896790061</v>
      </c>
      <c r="K77" s="225"/>
      <c r="L77" s="227"/>
      <c r="M77" s="131"/>
    </row>
    <row r="78" spans="1:13" ht="18.75" customHeight="1" x14ac:dyDescent="0.3">
      <c r="A78" s="3340" t="s">
        <v>2764</v>
      </c>
      <c r="B78" s="3341"/>
      <c r="C78" s="3341"/>
      <c r="D78" s="1751"/>
      <c r="E78" s="1751"/>
      <c r="F78" s="1751"/>
      <c r="G78" s="1752"/>
      <c r="K78" s="225"/>
      <c r="L78" s="227"/>
      <c r="M78" s="131"/>
    </row>
    <row r="79" spans="1:13" x14ac:dyDescent="0.3">
      <c r="A79" s="3342" t="s">
        <v>1295</v>
      </c>
      <c r="B79" s="3343"/>
      <c r="C79" s="3343"/>
      <c r="D79" s="1753"/>
      <c r="E79" s="1753"/>
      <c r="F79" s="1753"/>
      <c r="G79" s="1754"/>
      <c r="K79" s="225"/>
      <c r="L79" s="227"/>
      <c r="M79" s="131"/>
    </row>
    <row r="80" spans="1:13" ht="18.75" customHeight="1" x14ac:dyDescent="0.3">
      <c r="A80" s="3344" t="s">
        <v>2741</v>
      </c>
      <c r="B80" s="3345"/>
      <c r="C80" s="3345"/>
      <c r="D80" s="3345"/>
      <c r="E80" s="3345"/>
      <c r="F80" s="3345"/>
      <c r="G80" s="3346"/>
    </row>
    <row r="81" spans="1:18" ht="18.75" customHeight="1" x14ac:dyDescent="0.3">
      <c r="A81" s="3331" t="s">
        <v>1371</v>
      </c>
      <c r="B81" s="3332"/>
      <c r="C81" s="3332"/>
      <c r="D81" s="1755"/>
      <c r="E81" s="1755"/>
      <c r="F81" s="1755"/>
      <c r="G81" s="1756"/>
      <c r="H81" s="1"/>
      <c r="I81" s="1"/>
      <c r="J81" s="1"/>
      <c r="K81" s="233"/>
      <c r="L81" s="234"/>
      <c r="M81" s="6"/>
      <c r="N81" s="1"/>
      <c r="O81" s="1"/>
      <c r="P81" s="1"/>
      <c r="Q81" s="1"/>
      <c r="R81" s="1"/>
    </row>
    <row r="82" spans="1:18" ht="30" customHeight="1" x14ac:dyDescent="0.3">
      <c r="A82" s="3328" t="s">
        <v>1372</v>
      </c>
      <c r="B82" s="3329"/>
      <c r="C82" s="3329"/>
      <c r="D82" s="3329"/>
      <c r="E82" s="3329"/>
      <c r="F82" s="3329"/>
      <c r="G82" s="3330"/>
      <c r="H82" s="235"/>
      <c r="I82" s="235"/>
      <c r="J82" s="235"/>
      <c r="K82" s="235"/>
      <c r="L82" s="235"/>
      <c r="M82" s="235"/>
      <c r="N82" s="235"/>
      <c r="O82" s="235"/>
      <c r="P82" s="235"/>
      <c r="Q82" s="235"/>
      <c r="R82" s="235"/>
    </row>
    <row r="83" spans="1:18" ht="27" customHeight="1" x14ac:dyDescent="0.3">
      <c r="A83" s="3328" t="s">
        <v>1373</v>
      </c>
      <c r="B83" s="3329"/>
      <c r="C83" s="3329"/>
      <c r="D83" s="3329"/>
      <c r="E83" s="3329"/>
      <c r="F83" s="3329"/>
      <c r="G83" s="3330"/>
      <c r="H83" s="1"/>
      <c r="I83" s="1"/>
      <c r="J83" s="1"/>
      <c r="K83" s="233"/>
      <c r="L83" s="234"/>
      <c r="M83" s="6"/>
      <c r="N83" s="1"/>
      <c r="O83" s="1"/>
      <c r="P83" s="1"/>
      <c r="Q83" s="1"/>
      <c r="R83" s="1"/>
    </row>
    <row r="84" spans="1:18" ht="18.75" customHeight="1" x14ac:dyDescent="0.3">
      <c r="A84" s="3331" t="s">
        <v>1374</v>
      </c>
      <c r="B84" s="3332"/>
      <c r="C84" s="3332"/>
      <c r="D84" s="1755"/>
      <c r="E84" s="1755"/>
      <c r="F84" s="1755"/>
      <c r="G84" s="1756"/>
      <c r="H84" s="1"/>
      <c r="I84" s="1"/>
      <c r="J84" s="1"/>
      <c r="K84" s="233"/>
      <c r="L84" s="234"/>
      <c r="M84" s="6"/>
      <c r="N84" s="1"/>
      <c r="O84" s="1"/>
      <c r="P84" s="1"/>
      <c r="Q84" s="1"/>
      <c r="R84" s="1"/>
    </row>
    <row r="85" spans="1:18" ht="18.75" customHeight="1" x14ac:dyDescent="0.3">
      <c r="A85" s="3328" t="s">
        <v>2742</v>
      </c>
      <c r="B85" s="3329"/>
      <c r="C85" s="3329"/>
      <c r="D85" s="3329"/>
      <c r="E85" s="3329"/>
      <c r="F85" s="3329"/>
      <c r="G85" s="3330"/>
      <c r="H85" s="3336"/>
      <c r="I85" s="3336"/>
      <c r="J85" s="3336"/>
      <c r="K85" s="3336"/>
      <c r="L85" s="3336"/>
      <c r="M85" s="3336"/>
      <c r="N85" s="3336"/>
      <c r="O85" s="3336"/>
      <c r="P85" s="3336"/>
      <c r="Q85" s="3336"/>
      <c r="R85" s="3336"/>
    </row>
    <row r="86" spans="1:18" ht="18.75" customHeight="1" x14ac:dyDescent="0.3">
      <c r="A86" s="3328" t="s">
        <v>2743</v>
      </c>
      <c r="B86" s="3329"/>
      <c r="C86" s="3329"/>
      <c r="D86" s="3329"/>
      <c r="E86" s="3329"/>
      <c r="F86" s="3329"/>
      <c r="G86" s="3330"/>
      <c r="H86" s="3336"/>
      <c r="I86" s="3336"/>
      <c r="J86" s="3336"/>
      <c r="K86" s="3336"/>
      <c r="L86" s="3336"/>
      <c r="M86" s="3336"/>
      <c r="N86" s="3336"/>
      <c r="O86" s="3336"/>
      <c r="P86" s="3336"/>
      <c r="Q86" s="3336"/>
      <c r="R86" s="3336"/>
    </row>
    <row r="87" spans="1:18" ht="18.75" customHeight="1" x14ac:dyDescent="0.3">
      <c r="A87" s="3328" t="s">
        <v>2744</v>
      </c>
      <c r="B87" s="3329"/>
      <c r="C87" s="3329"/>
      <c r="D87" s="3329"/>
      <c r="E87" s="3329"/>
      <c r="F87" s="3329"/>
      <c r="G87" s="3330"/>
      <c r="H87" s="3336"/>
      <c r="I87" s="3336"/>
      <c r="J87" s="3336"/>
      <c r="K87" s="3336"/>
      <c r="L87" s="3336"/>
      <c r="M87" s="3336"/>
      <c r="N87" s="3336"/>
      <c r="O87" s="3336"/>
      <c r="P87" s="3336"/>
      <c r="Q87" s="3336"/>
      <c r="R87" s="3336"/>
    </row>
    <row r="88" spans="1:18" ht="18.75" customHeight="1" x14ac:dyDescent="0.3">
      <c r="A88" s="3328" t="s">
        <v>2745</v>
      </c>
      <c r="B88" s="3329"/>
      <c r="C88" s="3329"/>
      <c r="D88" s="3329"/>
      <c r="E88" s="3329"/>
      <c r="F88" s="3329"/>
      <c r="G88" s="3330"/>
      <c r="H88" s="3336"/>
      <c r="I88" s="3336"/>
      <c r="J88" s="3336"/>
      <c r="K88" s="3336"/>
      <c r="L88" s="3336"/>
      <c r="M88" s="3336"/>
      <c r="N88" s="3336"/>
      <c r="O88" s="3336"/>
      <c r="P88" s="3336"/>
      <c r="Q88" s="3336"/>
      <c r="R88" s="3336"/>
    </row>
    <row r="89" spans="1:18" ht="18.75" customHeight="1" x14ac:dyDescent="0.3">
      <c r="A89" s="3328" t="s">
        <v>2746</v>
      </c>
      <c r="B89" s="3329"/>
      <c r="C89" s="3329"/>
      <c r="D89" s="3329"/>
      <c r="E89" s="3329"/>
      <c r="F89" s="3329"/>
      <c r="G89" s="3330"/>
      <c r="H89" s="3336"/>
      <c r="I89" s="3336"/>
      <c r="J89" s="3336"/>
      <c r="K89" s="3336"/>
      <c r="L89" s="3336"/>
      <c r="M89" s="3336"/>
      <c r="N89" s="3336"/>
      <c r="O89" s="3336"/>
      <c r="P89" s="3336"/>
      <c r="Q89" s="3336"/>
      <c r="R89" s="3336"/>
    </row>
    <row r="90" spans="1:18" ht="18.75" customHeight="1" x14ac:dyDescent="0.3">
      <c r="A90" s="3328" t="s">
        <v>2747</v>
      </c>
      <c r="B90" s="3329"/>
      <c r="C90" s="3329"/>
      <c r="D90" s="3329"/>
      <c r="E90" s="3329"/>
      <c r="F90" s="3329"/>
      <c r="G90" s="3330"/>
      <c r="H90" s="3336"/>
      <c r="I90" s="3336"/>
      <c r="J90" s="3336"/>
      <c r="K90" s="3336"/>
      <c r="L90" s="3336"/>
      <c r="M90" s="3336"/>
      <c r="N90" s="3336"/>
      <c r="O90" s="3336"/>
      <c r="P90" s="3336"/>
      <c r="Q90" s="3336"/>
      <c r="R90" s="3336"/>
    </row>
    <row r="91" spans="1:18" ht="18.75" customHeight="1" x14ac:dyDescent="0.3">
      <c r="A91" s="3328" t="s">
        <v>2748</v>
      </c>
      <c r="B91" s="3329"/>
      <c r="C91" s="3329"/>
      <c r="D91" s="3329"/>
      <c r="E91" s="3329"/>
      <c r="F91" s="3329"/>
      <c r="G91" s="3330"/>
      <c r="H91" s="1122"/>
      <c r="I91" s="1122"/>
      <c r="J91" s="1122"/>
      <c r="K91" s="1122"/>
      <c r="L91" s="1122"/>
      <c r="M91" s="1122"/>
      <c r="N91" s="1122"/>
      <c r="O91" s="1122"/>
      <c r="P91" s="1122"/>
      <c r="Q91" s="1122"/>
      <c r="R91" s="1122"/>
    </row>
    <row r="92" spans="1:18" x14ac:dyDescent="0.3">
      <c r="A92" s="3331" t="s">
        <v>1355</v>
      </c>
      <c r="B92" s="3332"/>
      <c r="C92" s="3332"/>
      <c r="D92" s="1750"/>
      <c r="E92" s="1750"/>
      <c r="F92" s="1750"/>
      <c r="G92" s="1757"/>
      <c r="H92" s="1"/>
      <c r="I92" s="1"/>
      <c r="J92" s="1"/>
      <c r="K92" s="1"/>
      <c r="L92" s="1"/>
      <c r="M92" s="1"/>
      <c r="N92" s="1"/>
      <c r="O92" s="1"/>
      <c r="P92" s="1"/>
      <c r="Q92" s="1"/>
      <c r="R92" s="1"/>
    </row>
    <row r="93" spans="1:18" ht="18.75" customHeight="1" thickBot="1" x14ac:dyDescent="0.35">
      <c r="A93" s="3333" t="s">
        <v>2749</v>
      </c>
      <c r="B93" s="3334"/>
      <c r="C93" s="3334"/>
      <c r="D93" s="3334"/>
      <c r="E93" s="3334"/>
      <c r="F93" s="3334"/>
      <c r="G93" s="3335"/>
      <c r="H93" s="3336"/>
      <c r="I93" s="3336"/>
      <c r="J93" s="3336"/>
      <c r="K93" s="3336"/>
      <c r="L93" s="3336"/>
      <c r="M93" s="3336"/>
      <c r="N93" s="3336"/>
      <c r="O93" s="3336"/>
      <c r="P93" s="3336"/>
      <c r="Q93" s="3336"/>
      <c r="R93" s="3336"/>
    </row>
  </sheetData>
  <mergeCells count="47">
    <mergeCell ref="A64:G64"/>
    <mergeCell ref="A1:G1"/>
    <mergeCell ref="A2:A3"/>
    <mergeCell ref="B2:B3"/>
    <mergeCell ref="C2:C3"/>
    <mergeCell ref="A4:G4"/>
    <mergeCell ref="C5:C32"/>
    <mergeCell ref="M13:M14"/>
    <mergeCell ref="M17:M18"/>
    <mergeCell ref="C34:C41"/>
    <mergeCell ref="C44:C58"/>
    <mergeCell ref="A63:C63"/>
    <mergeCell ref="A84:C84"/>
    <mergeCell ref="C65:C66"/>
    <mergeCell ref="C69:C70"/>
    <mergeCell ref="C72:C74"/>
    <mergeCell ref="A76:C76"/>
    <mergeCell ref="A77:C77"/>
    <mergeCell ref="A78:C78"/>
    <mergeCell ref="A79:C79"/>
    <mergeCell ref="A80:G80"/>
    <mergeCell ref="A81:C81"/>
    <mergeCell ref="A82:G82"/>
    <mergeCell ref="A83:G83"/>
    <mergeCell ref="A85:G85"/>
    <mergeCell ref="H85:N85"/>
    <mergeCell ref="O85:R85"/>
    <mergeCell ref="A86:G86"/>
    <mergeCell ref="H86:N86"/>
    <mergeCell ref="O86:R86"/>
    <mergeCell ref="A87:G87"/>
    <mergeCell ref="H87:N87"/>
    <mergeCell ref="O87:R87"/>
    <mergeCell ref="A88:G88"/>
    <mergeCell ref="H88:N88"/>
    <mergeCell ref="O88:R88"/>
    <mergeCell ref="A89:G89"/>
    <mergeCell ref="H89:N89"/>
    <mergeCell ref="O89:R89"/>
    <mergeCell ref="A90:G90"/>
    <mergeCell ref="H90:N90"/>
    <mergeCell ref="O90:R90"/>
    <mergeCell ref="A91:G91"/>
    <mergeCell ref="A92:C92"/>
    <mergeCell ref="A93:G93"/>
    <mergeCell ref="H93:N93"/>
    <mergeCell ref="O93:R93"/>
  </mergeCells>
  <pageMargins left="0.70866141732283472" right="0.70866141732283472" top="0.74803149606299213" bottom="0.74803149606299213" header="0.31496062992125984" footer="0.31496062992125984"/>
  <pageSetup paperSize="9" scale="41" fitToHeight="2" orientation="portrait" horizontalDpi="300" verticalDpi="300" r:id="rId1"/>
  <rowBreaks count="1" manualBreakCount="1">
    <brk id="49" max="16383" man="1"/>
  </rowBreak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614ED6-F9FF-4E56-8063-44E4490AD9F4}">
  <sheetPr codeName="Sheet57">
    <tabColor theme="0"/>
    <pageSetUpPr fitToPage="1"/>
  </sheetPr>
  <dimension ref="B1:C65"/>
  <sheetViews>
    <sheetView view="pageLayout" topLeftCell="A4" zoomScale="80" zoomScaleNormal="100" zoomScalePageLayoutView="80" workbookViewId="0">
      <selection activeCell="B81" sqref="B81"/>
    </sheetView>
  </sheetViews>
  <sheetFormatPr defaultColWidth="152.42578125" defaultRowHeight="15.75" x14ac:dyDescent="0.25"/>
  <cols>
    <col min="1" max="2" width="2.140625" style="112" customWidth="1"/>
    <col min="3" max="3" width="110.42578125" style="112" customWidth="1"/>
    <col min="4" max="4" width="13.42578125" style="112" customWidth="1"/>
    <col min="5" max="5" width="15" style="112" customWidth="1"/>
    <col min="6" max="6" width="24" style="112" customWidth="1"/>
    <col min="7" max="16384" width="152.42578125" style="112"/>
  </cols>
  <sheetData>
    <row r="1" spans="2:3" ht="16.5" thickBot="1" x14ac:dyDescent="0.3"/>
    <row r="2" spans="2:3" ht="16.5" x14ac:dyDescent="0.25">
      <c r="C2" s="472" t="s">
        <v>2531</v>
      </c>
    </row>
    <row r="3" spans="2:3" x14ac:dyDescent="0.25">
      <c r="C3" s="1024"/>
    </row>
    <row r="4" spans="2:3" ht="51" customHeight="1" x14ac:dyDescent="0.25">
      <c r="C4" s="2358" t="s">
        <v>3015</v>
      </c>
    </row>
    <row r="5" spans="2:3" ht="77.25" customHeight="1" x14ac:dyDescent="0.25">
      <c r="C5" s="1746" t="s">
        <v>2750</v>
      </c>
    </row>
    <row r="6" spans="2:3" ht="84" customHeight="1" x14ac:dyDescent="0.25">
      <c r="C6" s="1746" t="s">
        <v>3026</v>
      </c>
    </row>
    <row r="7" spans="2:3" ht="51.75" customHeight="1" x14ac:dyDescent="0.25">
      <c r="C7" s="2044" t="s">
        <v>2895</v>
      </c>
    </row>
    <row r="8" spans="2:3" ht="51.75" customHeight="1" x14ac:dyDescent="0.25">
      <c r="C8" s="1745" t="s">
        <v>2751</v>
      </c>
    </row>
    <row r="9" spans="2:3" ht="51.75" customHeight="1" x14ac:dyDescent="0.25">
      <c r="C9" s="2043" t="s">
        <v>2894</v>
      </c>
    </row>
    <row r="10" spans="2:3" x14ac:dyDescent="0.25">
      <c r="C10" s="1745" t="s">
        <v>2752</v>
      </c>
    </row>
    <row r="11" spans="2:3" x14ac:dyDescent="0.25">
      <c r="C11" s="1746" t="s">
        <v>2753</v>
      </c>
    </row>
    <row r="12" spans="2:3" ht="31.5" x14ac:dyDescent="0.25">
      <c r="C12" s="1746" t="s">
        <v>2502</v>
      </c>
    </row>
    <row r="13" spans="2:3" x14ac:dyDescent="0.25">
      <c r="C13" s="1024"/>
    </row>
    <row r="14" spans="2:3" ht="16.5" thickBot="1" x14ac:dyDescent="0.3">
      <c r="C14" s="1025"/>
    </row>
    <row r="16" spans="2:3" ht="76.5" customHeight="1" x14ac:dyDescent="0.25">
      <c r="B16" s="1454"/>
    </row>
    <row r="65" ht="1.5" customHeight="1" x14ac:dyDescent="0.25"/>
  </sheetData>
  <pageMargins left="0.70866141732283472" right="0.70866141732283472" top="0.74803149606299213" bottom="0.74803149606299213" header="0.31496062992125984" footer="0.31496062992125984"/>
  <pageSetup paperSize="9" scale="76" orientation="portrait"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AED767-3140-4C77-A400-84762D76E510}">
  <sheetPr codeName="Sheet59">
    <pageSetUpPr fitToPage="1"/>
  </sheetPr>
  <dimension ref="G3:J18"/>
  <sheetViews>
    <sheetView topLeftCell="A3" zoomScaleNormal="100" workbookViewId="0">
      <selection activeCell="I16" sqref="I16"/>
    </sheetView>
  </sheetViews>
  <sheetFormatPr defaultColWidth="4.28515625" defaultRowHeight="0" customHeight="1" zeroHeight="1" x14ac:dyDescent="0.2"/>
  <cols>
    <col min="1" max="1" width="4.28515625" style="136"/>
    <col min="2" max="2" width="11.85546875" style="136" bestFit="1" customWidth="1"/>
    <col min="3" max="3" width="16" style="136" bestFit="1" customWidth="1"/>
    <col min="4" max="4" width="16.7109375" style="136" bestFit="1" customWidth="1"/>
    <col min="5" max="5" width="9.28515625" style="136" customWidth="1"/>
    <col min="6" max="6" width="15.28515625" style="136" customWidth="1"/>
    <col min="7" max="7" width="20.140625" style="136" customWidth="1"/>
    <col min="8" max="8" width="17.28515625" style="136" customWidth="1"/>
    <col min="9" max="9" width="13.28515625" style="136" customWidth="1"/>
    <col min="10" max="10" width="4.85546875" style="136" bestFit="1" customWidth="1"/>
    <col min="11" max="11" width="11.140625" style="136" customWidth="1"/>
    <col min="12" max="12" width="4.28515625" style="136"/>
    <col min="13" max="13" width="22.85546875" style="136" customWidth="1"/>
    <col min="14" max="16384" width="4.28515625" style="136"/>
  </cols>
  <sheetData>
    <row r="3" spans="7:10" ht="30" customHeight="1" x14ac:dyDescent="0.2">
      <c r="G3" s="137" t="s">
        <v>387</v>
      </c>
      <c r="H3" s="137" t="s">
        <v>1433</v>
      </c>
      <c r="I3" s="137" t="s">
        <v>1400</v>
      </c>
    </row>
    <row r="4" spans="7:10" ht="19.5" customHeight="1" x14ac:dyDescent="0.25">
      <c r="G4" s="24" t="s">
        <v>1176</v>
      </c>
      <c r="H4" s="138">
        <v>157.0570219409868</v>
      </c>
      <c r="I4" s="1598">
        <v>6.1</v>
      </c>
      <c r="J4" s="720"/>
    </row>
    <row r="5" spans="7:10" ht="19.5" customHeight="1" x14ac:dyDescent="0.25">
      <c r="G5" s="24" t="s">
        <v>1392</v>
      </c>
      <c r="H5" s="138">
        <v>158.40685351999804</v>
      </c>
      <c r="I5" s="1599">
        <v>0.9</v>
      </c>
      <c r="J5" s="720"/>
    </row>
    <row r="6" spans="7:10" ht="19.5" customHeight="1" x14ac:dyDescent="0.25">
      <c r="G6" s="24" t="s">
        <v>1090</v>
      </c>
      <c r="H6" s="138">
        <v>165.52011813299228</v>
      </c>
      <c r="I6" s="1599">
        <v>4.5</v>
      </c>
      <c r="J6" s="720"/>
    </row>
    <row r="7" spans="7:10" ht="19.5" customHeight="1" x14ac:dyDescent="0.25">
      <c r="G7" s="24" t="s">
        <v>1393</v>
      </c>
      <c r="H7" s="138">
        <v>184.67390277700176</v>
      </c>
      <c r="I7" s="1599">
        <v>11.6</v>
      </c>
      <c r="J7" s="720"/>
    </row>
    <row r="8" spans="7:10" ht="19.5" customHeight="1" x14ac:dyDescent="0.25">
      <c r="G8" s="24" t="s">
        <v>1394</v>
      </c>
      <c r="H8" s="138">
        <v>194.59726743199673</v>
      </c>
      <c r="I8" s="1599">
        <v>5.4</v>
      </c>
      <c r="J8" s="720"/>
    </row>
    <row r="9" spans="7:10" ht="19.5" customHeight="1" x14ac:dyDescent="0.25">
      <c r="G9" s="24" t="s">
        <v>1395</v>
      </c>
      <c r="H9" s="138">
        <v>206.16616683998814</v>
      </c>
      <c r="I9" s="1599">
        <v>5.9</v>
      </c>
      <c r="J9" s="720"/>
    </row>
    <row r="10" spans="7:10" ht="19.5" customHeight="1" x14ac:dyDescent="0.25">
      <c r="G10" s="24" t="s">
        <v>7</v>
      </c>
      <c r="H10" s="138">
        <v>213.21625920886623</v>
      </c>
      <c r="I10" s="1599">
        <v>3.4</v>
      </c>
      <c r="J10" s="720"/>
    </row>
    <row r="11" spans="7:10" ht="19.5" customHeight="1" x14ac:dyDescent="0.25">
      <c r="G11" s="24" t="s">
        <v>8</v>
      </c>
      <c r="H11" s="138">
        <v>214.12662644980693</v>
      </c>
      <c r="I11" s="1599">
        <v>0.4</v>
      </c>
      <c r="J11" s="720"/>
    </row>
    <row r="12" spans="7:10" ht="19.5" customHeight="1" x14ac:dyDescent="0.25">
      <c r="G12" s="139" t="s">
        <v>76</v>
      </c>
      <c r="H12" s="140">
        <v>194.29532182621546</v>
      </c>
      <c r="I12" s="1599">
        <v>-9.3000000000000007</v>
      </c>
      <c r="J12" s="720"/>
    </row>
    <row r="13" spans="7:10" ht="19.5" customHeight="1" x14ac:dyDescent="0.25">
      <c r="G13" s="139" t="s">
        <v>10</v>
      </c>
      <c r="H13" s="140">
        <v>201.69665773166869</v>
      </c>
      <c r="I13" s="1599">
        <v>3.8</v>
      </c>
      <c r="J13" s="720"/>
    </row>
    <row r="14" spans="7:10" ht="19.5" customHeight="1" x14ac:dyDescent="0.2">
      <c r="G14" s="141" t="s">
        <v>11</v>
      </c>
      <c r="H14" s="138">
        <v>223.00825949358247</v>
      </c>
      <c r="I14" s="1599">
        <v>10.6</v>
      </c>
      <c r="J14" s="720"/>
    </row>
    <row r="15" spans="7:10" ht="19.5" customHeight="1" x14ac:dyDescent="0.2">
      <c r="G15" s="141" t="s">
        <v>2319</v>
      </c>
      <c r="H15" s="140">
        <v>234.25870406625387</v>
      </c>
      <c r="I15" s="1599">
        <v>5</v>
      </c>
      <c r="J15" s="720"/>
    </row>
    <row r="16" spans="7:10" ht="19.5" customHeight="1" x14ac:dyDescent="0.2">
      <c r="G16" s="141" t="s">
        <v>2384</v>
      </c>
      <c r="H16" s="140">
        <v>239.22147676161072</v>
      </c>
      <c r="I16" s="1599">
        <v>2.1</v>
      </c>
      <c r="J16" s="720"/>
    </row>
    <row r="17" spans="7:10" ht="19.5" customHeight="1" x14ac:dyDescent="0.2">
      <c r="G17" s="141" t="s">
        <v>2536</v>
      </c>
      <c r="H17" s="140">
        <v>243.2</v>
      </c>
      <c r="I17" s="1599">
        <v>1.7</v>
      </c>
      <c r="J17" s="720"/>
    </row>
    <row r="18" spans="7:10" ht="0" hidden="1" customHeight="1" x14ac:dyDescent="0.2">
      <c r="G18" s="136" t="s">
        <v>2441</v>
      </c>
      <c r="H18" s="136">
        <v>118.29573316162322</v>
      </c>
      <c r="I18" s="136">
        <v>1.0269531366458153</v>
      </c>
    </row>
  </sheetData>
  <pageMargins left="0.7" right="0.7" top="0.75" bottom="0.75" header="0.3" footer="0.3"/>
  <pageSetup paperSize="9" scale="63" orientation="portrait"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8BDD85-2AEC-461C-8C52-61FC725DB924}">
  <sheetPr>
    <tabColor theme="0"/>
    <pageSetUpPr fitToPage="1"/>
  </sheetPr>
  <dimension ref="A1:CK70"/>
  <sheetViews>
    <sheetView showWhiteSpace="0" view="pageLayout" topLeftCell="B33" zoomScale="70" zoomScaleNormal="100" zoomScaleSheetLayoutView="55" zoomScalePageLayoutView="70" workbookViewId="0">
      <selection activeCell="CL11" sqref="CL11"/>
    </sheetView>
  </sheetViews>
  <sheetFormatPr defaultColWidth="9.140625" defaultRowHeight="15" x14ac:dyDescent="0.25"/>
  <cols>
    <col min="1" max="1" width="3.28515625" style="681" hidden="1" customWidth="1"/>
    <col min="2" max="2" width="26.140625" style="681" customWidth="1"/>
    <col min="3" max="9" width="9.28515625" style="683" customWidth="1"/>
    <col min="10" max="10" width="9.7109375" style="683" customWidth="1"/>
    <col min="11" max="11" width="9.42578125" style="683" customWidth="1"/>
    <col min="12" max="12" width="9.7109375" style="683" customWidth="1"/>
    <col min="13" max="13" width="9.85546875" style="683" customWidth="1"/>
    <col min="14" max="14" width="11.28515625" style="683" customWidth="1"/>
    <col min="15" max="15" width="7.28515625" style="715" customWidth="1"/>
    <col min="16" max="17" width="7.28515625" style="683" hidden="1" customWidth="1"/>
    <col min="18" max="18" width="0.85546875" style="683" hidden="1" customWidth="1"/>
    <col min="19" max="19" width="13.7109375" style="683" hidden="1" customWidth="1"/>
    <col min="20" max="20" width="11.28515625" style="683" hidden="1" customWidth="1"/>
    <col min="21" max="22" width="13.7109375" style="681" hidden="1" customWidth="1"/>
    <col min="23" max="23" width="11.28515625" style="681" hidden="1" customWidth="1"/>
    <col min="24" max="24" width="9" style="681" hidden="1" customWidth="1"/>
    <col min="25" max="25" width="4.5703125" style="681" hidden="1" customWidth="1"/>
    <col min="26" max="26" width="9" style="681" hidden="1" customWidth="1"/>
    <col min="27" max="27" width="13.7109375" style="681" hidden="1" customWidth="1"/>
    <col min="28" max="29" width="4.5703125" style="681" hidden="1" customWidth="1"/>
    <col min="30" max="30" width="9" style="681" hidden="1" customWidth="1"/>
    <col min="31" max="31" width="9.5703125" style="681" hidden="1" customWidth="1"/>
    <col min="32" max="34" width="4.5703125" style="681" hidden="1" customWidth="1"/>
    <col min="35" max="35" width="5" style="681" hidden="1" customWidth="1"/>
    <col min="36" max="39" width="4.5703125" style="681" hidden="1" customWidth="1"/>
    <col min="40" max="40" width="16.28515625" style="681" hidden="1" customWidth="1"/>
    <col min="41" max="41" width="9" style="683" hidden="1" customWidth="1"/>
    <col min="42" max="42" width="8.140625" style="683" hidden="1" customWidth="1"/>
    <col min="43" max="43" width="13.7109375" style="681" hidden="1" customWidth="1"/>
    <col min="44" max="44" width="14.42578125" style="681" hidden="1" customWidth="1"/>
    <col min="45" max="45" width="9.140625" style="681" hidden="1" customWidth="1"/>
    <col min="46" max="46" width="16.140625" style="681" hidden="1" customWidth="1"/>
    <col min="47" max="59" width="13.7109375" style="681" hidden="1" customWidth="1"/>
    <col min="60" max="60" width="6.140625" style="681" hidden="1" customWidth="1"/>
    <col min="61" max="61" width="9.140625" style="681" hidden="1" customWidth="1"/>
    <col min="62" max="62" width="9.42578125" style="681" hidden="1" customWidth="1"/>
    <col min="63" max="63" width="8.140625" style="681" hidden="1" customWidth="1"/>
    <col min="64" max="64" width="12" style="681" hidden="1" customWidth="1"/>
    <col min="65" max="67" width="9.140625" style="681" hidden="1" customWidth="1"/>
    <col min="68" max="68" width="20.140625" style="681" hidden="1" customWidth="1"/>
    <col min="69" max="75" width="7.7109375" style="681" hidden="1" customWidth="1"/>
    <col min="76" max="81" width="13.7109375" style="681" hidden="1" customWidth="1"/>
    <col min="82" max="82" width="10.28515625" style="681" hidden="1" customWidth="1"/>
    <col min="83" max="83" width="25.140625" style="681" hidden="1" customWidth="1"/>
    <col min="84" max="85" width="0" style="681" hidden="1" customWidth="1"/>
    <col min="86" max="86" width="13.28515625" style="681" bestFit="1" customWidth="1"/>
    <col min="87" max="16384" width="9.140625" style="681"/>
  </cols>
  <sheetData>
    <row r="1" spans="1:89" ht="29.25" customHeight="1" x14ac:dyDescent="0.3">
      <c r="A1" s="681" t="s">
        <v>1376</v>
      </c>
      <c r="B1" s="3377" t="s">
        <v>1377</v>
      </c>
      <c r="C1" s="3378"/>
      <c r="D1" s="3378"/>
      <c r="E1" s="3378"/>
      <c r="F1" s="3378"/>
      <c r="G1" s="3378"/>
      <c r="H1" s="3378"/>
      <c r="I1" s="3378"/>
      <c r="J1" s="3378"/>
      <c r="K1" s="3378"/>
      <c r="L1" s="3378"/>
      <c r="M1" s="3378"/>
      <c r="N1" s="3379"/>
      <c r="O1" s="682"/>
      <c r="P1" s="133"/>
      <c r="S1" s="683">
        <f>100*(((K5/D5)^(1/8)-1))</f>
        <v>6.0591594120971592</v>
      </c>
      <c r="U1" s="681">
        <f>100*(((K9/D9)^(1/8))-1)</f>
        <v>1.7703276027961845</v>
      </c>
      <c r="BP1" s="684" t="s">
        <v>11</v>
      </c>
      <c r="BQ1" s="685" t="s">
        <v>1378</v>
      </c>
      <c r="BR1" s="685" t="s">
        <v>1379</v>
      </c>
      <c r="BS1" s="685" t="s">
        <v>1380</v>
      </c>
      <c r="BT1" s="685" t="s">
        <v>1381</v>
      </c>
      <c r="BU1" s="685" t="s">
        <v>1382</v>
      </c>
      <c r="BV1" s="685" t="s">
        <v>1383</v>
      </c>
      <c r="BW1" s="681" t="s">
        <v>1384</v>
      </c>
      <c r="BX1" s="681" t="s">
        <v>1385</v>
      </c>
      <c r="BY1" s="681" t="s">
        <v>1386</v>
      </c>
      <c r="BZ1" s="681" t="s">
        <v>1387</v>
      </c>
      <c r="CA1" s="681" t="s">
        <v>1388</v>
      </c>
      <c r="CB1" s="681" t="s">
        <v>1389</v>
      </c>
      <c r="CC1" s="681" t="s">
        <v>237</v>
      </c>
    </row>
    <row r="2" spans="1:89" ht="15" customHeight="1" x14ac:dyDescent="0.25">
      <c r="B2" s="3380" t="s">
        <v>242</v>
      </c>
      <c r="C2" s="3381"/>
      <c r="D2" s="3381"/>
      <c r="E2" s="3381"/>
      <c r="F2" s="3381"/>
      <c r="G2" s="3381"/>
      <c r="H2" s="3381"/>
      <c r="I2" s="3381"/>
      <c r="J2" s="3381"/>
      <c r="K2" s="3381"/>
      <c r="L2" s="3381"/>
      <c r="M2" s="3381"/>
      <c r="N2" s="3382"/>
      <c r="O2" s="686"/>
      <c r="P2" s="687"/>
      <c r="Q2" s="688"/>
      <c r="R2" s="688"/>
      <c r="S2" s="3359" t="s">
        <v>1390</v>
      </c>
      <c r="T2" s="3359"/>
      <c r="U2" s="3359"/>
      <c r="V2" s="3359"/>
      <c r="W2" s="3359"/>
      <c r="X2" s="689"/>
      <c r="Y2" s="689"/>
      <c r="Z2" s="689"/>
      <c r="AA2" s="689"/>
      <c r="AB2" s="689"/>
      <c r="AC2" s="689"/>
      <c r="AD2" s="689"/>
      <c r="AE2" s="689"/>
      <c r="AF2" s="689"/>
      <c r="AG2" s="689"/>
      <c r="AH2" s="689"/>
      <c r="AI2" s="689"/>
      <c r="AJ2" s="689"/>
      <c r="AK2" s="689"/>
      <c r="AL2" s="689"/>
      <c r="AM2" s="689"/>
      <c r="AN2" s="3360" t="s">
        <v>1391</v>
      </c>
      <c r="AO2" s="3360"/>
      <c r="AP2" s="3360"/>
      <c r="BP2" s="690" t="s">
        <v>112</v>
      </c>
      <c r="BQ2" s="691">
        <v>2157.4639415850288</v>
      </c>
      <c r="BR2" s="691">
        <v>2158.6793315570121</v>
      </c>
      <c r="BS2" s="692">
        <v>2225.498618942016</v>
      </c>
      <c r="BT2" s="692">
        <v>2403.588377294016</v>
      </c>
      <c r="BU2" s="693">
        <v>2388.1607136230191</v>
      </c>
      <c r="BV2" s="694">
        <v>2440.862383094021</v>
      </c>
      <c r="BW2" s="695">
        <v>2394.0428104180155</v>
      </c>
      <c r="BX2" s="681">
        <v>2461.3056944880273</v>
      </c>
      <c r="BY2" s="681">
        <v>2569.5905349900272</v>
      </c>
      <c r="BZ2" s="681">
        <v>2506.5680008367071</v>
      </c>
      <c r="CA2" s="681">
        <v>2391.2701725996913</v>
      </c>
      <c r="CB2" s="681">
        <v>2406.4571458626842</v>
      </c>
      <c r="CC2" s="696">
        <f t="shared" ref="CC2:CC13" si="0">+SUM(BQ2:CB2)</f>
        <v>28503.487725290266</v>
      </c>
      <c r="CE2" s="697" t="s">
        <v>112</v>
      </c>
    </row>
    <row r="3" spans="1:89" ht="30" x14ac:dyDescent="0.25">
      <c r="B3" s="721" t="s">
        <v>1150</v>
      </c>
      <c r="C3" s="1607" t="s">
        <v>1090</v>
      </c>
      <c r="D3" s="1607" t="s">
        <v>1393</v>
      </c>
      <c r="E3" s="1607" t="s">
        <v>1394</v>
      </c>
      <c r="F3" s="1607" t="s">
        <v>1395</v>
      </c>
      <c r="G3" s="1607" t="s">
        <v>7</v>
      </c>
      <c r="H3" s="1607" t="s">
        <v>8</v>
      </c>
      <c r="I3" s="445" t="s">
        <v>76</v>
      </c>
      <c r="J3" s="2" t="s">
        <v>77</v>
      </c>
      <c r="K3" s="2" t="s">
        <v>779</v>
      </c>
      <c r="L3" s="2" t="s">
        <v>382</v>
      </c>
      <c r="M3" s="1608" t="s">
        <v>2384</v>
      </c>
      <c r="N3" s="913" t="s">
        <v>2479</v>
      </c>
      <c r="O3" s="698"/>
      <c r="P3" s="699"/>
      <c r="S3" s="700" t="s">
        <v>1396</v>
      </c>
      <c r="T3" s="701" t="s">
        <v>1150</v>
      </c>
      <c r="U3" s="702" t="s">
        <v>1397</v>
      </c>
      <c r="V3" s="702" t="s">
        <v>1398</v>
      </c>
      <c r="W3" s="702" t="s">
        <v>1399</v>
      </c>
      <c r="X3" s="703"/>
      <c r="Y3" s="703"/>
      <c r="Z3" s="703"/>
      <c r="AA3" s="703"/>
      <c r="AB3" s="703"/>
      <c r="AC3" s="703"/>
      <c r="AD3" s="703"/>
      <c r="AE3" s="703"/>
      <c r="AF3" s="703"/>
      <c r="AG3" s="703"/>
      <c r="AH3" s="703"/>
      <c r="AI3" s="703"/>
      <c r="AJ3" s="703"/>
      <c r="AK3" s="703"/>
      <c r="AL3" s="703"/>
      <c r="AM3" s="703"/>
      <c r="AN3" s="702" t="s">
        <v>387</v>
      </c>
      <c r="AO3" s="702" t="s">
        <v>197</v>
      </c>
      <c r="AP3" s="702" t="s">
        <v>1400</v>
      </c>
      <c r="AU3" s="65" t="s">
        <v>1401</v>
      </c>
      <c r="AV3" s="65" t="s">
        <v>1402</v>
      </c>
      <c r="AW3" s="65" t="s">
        <v>1403</v>
      </c>
      <c r="AX3" s="65" t="s">
        <v>1404</v>
      </c>
      <c r="AY3" s="65" t="s">
        <v>1405</v>
      </c>
      <c r="AZ3" s="65" t="s">
        <v>1406</v>
      </c>
      <c r="BA3" s="65" t="s">
        <v>1407</v>
      </c>
      <c r="BB3" s="65" t="s">
        <v>1408</v>
      </c>
      <c r="BC3" s="65" t="s">
        <v>1409</v>
      </c>
      <c r="BD3" s="65" t="s">
        <v>1410</v>
      </c>
      <c r="BE3" s="65" t="s">
        <v>1411</v>
      </c>
      <c r="BF3" s="3361" t="s">
        <v>1412</v>
      </c>
      <c r="BG3" s="3361"/>
      <c r="BP3" s="690" t="s">
        <v>1046</v>
      </c>
      <c r="BQ3" s="691">
        <v>973.56194400000004</v>
      </c>
      <c r="BR3" s="691">
        <v>828.48673481000014</v>
      </c>
      <c r="BS3" s="692">
        <v>947.95017298000005</v>
      </c>
      <c r="BT3" s="692">
        <v>1150.92091501</v>
      </c>
      <c r="BU3" s="692">
        <v>1088.6166870000002</v>
      </c>
      <c r="BV3" s="691">
        <v>1008.57747199</v>
      </c>
      <c r="BW3" s="695">
        <v>860.53709499899992</v>
      </c>
      <c r="BX3" s="681">
        <v>931.29423099899986</v>
      </c>
      <c r="BY3" s="681">
        <v>1039.6110410000001</v>
      </c>
      <c r="BZ3" s="681">
        <v>1158.8806958429998</v>
      </c>
      <c r="CA3" s="681">
        <v>1061.0614398330001</v>
      </c>
      <c r="CB3" s="681">
        <v>1147.7609488230003</v>
      </c>
      <c r="CC3" s="696">
        <f t="shared" si="0"/>
        <v>12197.259377287</v>
      </c>
      <c r="CE3" s="697" t="s">
        <v>1046</v>
      </c>
    </row>
    <row r="4" spans="1:89" ht="18.75" x14ac:dyDescent="0.25">
      <c r="B4" s="142" t="s">
        <v>112</v>
      </c>
      <c r="C4" s="704">
        <v>18.000102374999983</v>
      </c>
      <c r="D4" s="704">
        <v>19.623222261999977</v>
      </c>
      <c r="E4" s="704">
        <v>21.60821023799992</v>
      </c>
      <c r="F4" s="704">
        <v>23.341821038999697</v>
      </c>
      <c r="G4" s="704">
        <v>24.906789338279406</v>
      </c>
      <c r="H4" s="704">
        <v>26.329779999006472</v>
      </c>
      <c r="I4" s="704">
        <v>27.558426378406992</v>
      </c>
      <c r="J4" s="704">
        <v>28.253488206793023</v>
      </c>
      <c r="K4" s="704">
        <v>28.503503956540275</v>
      </c>
      <c r="L4" s="704">
        <v>29.663616395443992</v>
      </c>
      <c r="M4" s="1039">
        <v>31.320965116695181</v>
      </c>
      <c r="N4" s="2359">
        <v>33.169508947162058</v>
      </c>
      <c r="O4" s="705"/>
      <c r="P4" s="705" t="e">
        <f>+M4/#REF!*100</f>
        <v>#REF!</v>
      </c>
      <c r="Q4" s="683">
        <f t="shared" ref="Q4:Q15" si="1">+VLOOKUP(B4,$AD$4:$AE$15,2,FALSE)</f>
        <v>14981.439999999999</v>
      </c>
      <c r="S4" s="706">
        <v>4</v>
      </c>
      <c r="T4" s="707" t="s">
        <v>112</v>
      </c>
      <c r="U4" s="708" t="e">
        <f>(((V4/W4)^(1/10))-1)*100</f>
        <v>#REF!</v>
      </c>
      <c r="V4" s="708">
        <f>+M4</f>
        <v>31.320965116695181</v>
      </c>
      <c r="W4" s="708" t="e">
        <f>+#REF!</f>
        <v>#REF!</v>
      </c>
      <c r="X4" s="135">
        <f>+M4/K4-1</f>
        <v>9.8846133599950869E-2</v>
      </c>
      <c r="Y4" s="709"/>
      <c r="Z4" s="709" t="s">
        <v>148</v>
      </c>
      <c r="AA4" s="709">
        <v>11.059282194881881</v>
      </c>
      <c r="AB4" s="709"/>
      <c r="AC4" s="709"/>
      <c r="AD4" s="709" t="s">
        <v>112</v>
      </c>
      <c r="AE4" s="709">
        <f>VLOOKUP(AD4,[9]Sheet1!$A:$I,7,0)</f>
        <v>14981.439999999999</v>
      </c>
      <c r="AF4" s="709"/>
      <c r="AG4" s="709"/>
      <c r="AH4" s="709"/>
      <c r="AI4" s="709"/>
      <c r="AJ4" s="709"/>
      <c r="AK4" s="709"/>
      <c r="AL4" s="709"/>
      <c r="AM4" s="709"/>
      <c r="AN4" s="24" t="s">
        <v>1087</v>
      </c>
      <c r="AO4" s="93">
        <v>148.13220544200598</v>
      </c>
      <c r="AP4" s="93">
        <v>5</v>
      </c>
      <c r="AR4" s="710" t="e">
        <f t="shared" ref="AR4:AR16" si="2">_xlfn.RRI(10,W4,V4)</f>
        <v>#REF!</v>
      </c>
      <c r="AT4" s="711" t="s">
        <v>1049</v>
      </c>
      <c r="AU4">
        <v>5537.9870300000002</v>
      </c>
      <c r="AV4">
        <v>5272.4551500000016</v>
      </c>
      <c r="AW4">
        <v>5506.7392100000006</v>
      </c>
      <c r="AX4">
        <v>5724.9376500000035</v>
      </c>
      <c r="AY4">
        <v>6263.6860900000047</v>
      </c>
      <c r="AZ4">
        <v>6999.365429999988</v>
      </c>
      <c r="BA4">
        <v>7634.8632700000035</v>
      </c>
      <c r="BB4">
        <v>8302.0577689257061</v>
      </c>
      <c r="BC4">
        <v>7998.6090355175374</v>
      </c>
      <c r="BD4">
        <f t="shared" ref="BD4:BD15" si="3">+VLOOKUP(AT4,$BF$4:$BG$15,2,FALSE)</f>
        <v>3697.7549794394881</v>
      </c>
      <c r="BE4">
        <v>5008.0332718782665</v>
      </c>
      <c r="BF4" t="s">
        <v>112</v>
      </c>
      <c r="BG4">
        <v>27558.426378406992</v>
      </c>
      <c r="BJ4" s="711" t="s">
        <v>1049</v>
      </c>
      <c r="BK4" t="e">
        <f t="shared" ref="BK4:BL15" si="4">+BF4/1000</f>
        <v>#VALUE!</v>
      </c>
      <c r="BL4">
        <f t="shared" si="4"/>
        <v>27.558426378406992</v>
      </c>
      <c r="BP4" s="690" t="s">
        <v>1045</v>
      </c>
      <c r="BQ4" s="691">
        <v>2797.3626976859937</v>
      </c>
      <c r="BR4" s="691">
        <v>3016.9213234164231</v>
      </c>
      <c r="BS4" s="692">
        <v>2968.4701600985127</v>
      </c>
      <c r="BT4" s="692">
        <v>2808.3537288423913</v>
      </c>
      <c r="BU4" s="692">
        <v>3005.6430321774087</v>
      </c>
      <c r="BV4" s="691">
        <v>2827.0213563032466</v>
      </c>
      <c r="BW4" s="695">
        <v>2996.4882975327514</v>
      </c>
      <c r="BX4" s="681">
        <v>2860.9148090832246</v>
      </c>
      <c r="BY4" s="681">
        <v>2983.6981076456482</v>
      </c>
      <c r="BZ4" s="681">
        <v>2827.4604579015186</v>
      </c>
      <c r="CA4" s="681">
        <v>2776.398096017504</v>
      </c>
      <c r="CB4" s="681">
        <v>3107.245830119557</v>
      </c>
      <c r="CC4" s="696">
        <f t="shared" si="0"/>
        <v>34975.977896824174</v>
      </c>
      <c r="CE4" s="697" t="s">
        <v>1045</v>
      </c>
      <c r="CH4" s="2260"/>
      <c r="CI4" s="879"/>
      <c r="CK4" s="879"/>
    </row>
    <row r="5" spans="1:89" ht="18.75" x14ac:dyDescent="0.25">
      <c r="B5" s="142" t="s">
        <v>1045</v>
      </c>
      <c r="C5" s="704">
        <v>19.075402439999475</v>
      </c>
      <c r="D5" s="704">
        <v>21.8466308999996</v>
      </c>
      <c r="E5" s="704">
        <v>23.764934029999491</v>
      </c>
      <c r="F5" s="704">
        <v>26.174478359999469</v>
      </c>
      <c r="G5" s="704">
        <v>28.284413977447436</v>
      </c>
      <c r="H5" s="704">
        <v>29.975488406249358</v>
      </c>
      <c r="I5" s="704">
        <v>27.968993710450231</v>
      </c>
      <c r="J5" s="704">
        <v>30.848957073147311</v>
      </c>
      <c r="K5" s="704">
        <v>34.975982031008563</v>
      </c>
      <c r="L5" s="704">
        <v>37.219362412172686</v>
      </c>
      <c r="M5" s="1039">
        <v>40.004536817272594</v>
      </c>
      <c r="N5" s="2359">
        <v>42.586186820679053</v>
      </c>
      <c r="O5" s="705"/>
      <c r="P5" s="705" t="e">
        <f>+M6/#REF!*100</f>
        <v>#REF!</v>
      </c>
      <c r="Q5" s="683">
        <f t="shared" si="1"/>
        <v>19849.66</v>
      </c>
      <c r="S5" s="706">
        <v>3</v>
      </c>
      <c r="T5" s="707" t="s">
        <v>1045</v>
      </c>
      <c r="U5" s="708" t="e">
        <f t="shared" ref="U5:U15" si="5">(((V5/W5)^(1/10))-1)*100</f>
        <v>#REF!</v>
      </c>
      <c r="V5" s="708">
        <f>+M6</f>
        <v>13.028440831000001</v>
      </c>
      <c r="W5" s="708" t="e">
        <f>+#REF!</f>
        <v>#REF!</v>
      </c>
      <c r="X5" s="135">
        <f>+M6/K5-1</f>
        <v>-0.62750321579392931</v>
      </c>
      <c r="Y5" s="709"/>
      <c r="Z5" s="709" t="s">
        <v>1045</v>
      </c>
      <c r="AA5" s="709">
        <v>8.3093006091140111</v>
      </c>
      <c r="AB5" s="709"/>
      <c r="AC5" s="709"/>
      <c r="AD5" s="709" t="s">
        <v>1046</v>
      </c>
      <c r="AE5" s="709">
        <f>VLOOKUP(AD5,[9]Sheet1!$A:$I,7,0)</f>
        <v>6749.64</v>
      </c>
      <c r="AF5" s="709"/>
      <c r="AG5" s="709"/>
      <c r="AH5" s="709"/>
      <c r="AI5" s="709"/>
      <c r="AJ5" s="709"/>
      <c r="AK5" s="709"/>
      <c r="AL5" s="709"/>
      <c r="AM5" s="709"/>
      <c r="AN5" s="24" t="s">
        <v>1176</v>
      </c>
      <c r="AO5" s="93">
        <v>157.0570219409868</v>
      </c>
      <c r="AP5" s="93">
        <v>6.1</v>
      </c>
      <c r="AQ5" s="712"/>
      <c r="AR5" s="710" t="e">
        <f t="shared" si="2"/>
        <v>#REF!</v>
      </c>
      <c r="AT5" s="711" t="s">
        <v>1413</v>
      </c>
      <c r="AU5">
        <v>4638.2069590000319</v>
      </c>
      <c r="AV5">
        <v>4676.194179000011</v>
      </c>
      <c r="AW5">
        <v>5006.9575500000074</v>
      </c>
      <c r="AX5">
        <v>5072.8328610000053</v>
      </c>
      <c r="AY5">
        <v>5937.9387530000085</v>
      </c>
      <c r="AZ5">
        <v>5935.5010180000172</v>
      </c>
      <c r="BA5">
        <v>6085.8515270000116</v>
      </c>
      <c r="BB5">
        <v>6707.6965820000241</v>
      </c>
      <c r="BC5">
        <v>6720.3688499999871</v>
      </c>
      <c r="BD5">
        <f t="shared" si="3"/>
        <v>7523.9153900000001</v>
      </c>
      <c r="BE5">
        <v>7873.6458730000677</v>
      </c>
      <c r="BF5" t="s">
        <v>1046</v>
      </c>
      <c r="BG5">
        <v>14100.355452353548</v>
      </c>
      <c r="BJ5" s="711" t="s">
        <v>1413</v>
      </c>
      <c r="BK5" t="e">
        <f t="shared" si="4"/>
        <v>#VALUE!</v>
      </c>
      <c r="BL5">
        <f t="shared" si="4"/>
        <v>14.100355452353547</v>
      </c>
      <c r="BP5" s="690" t="s">
        <v>1049</v>
      </c>
      <c r="BQ5" s="691">
        <v>552.72427569237971</v>
      </c>
      <c r="BR5" s="691">
        <v>595.72895658369009</v>
      </c>
      <c r="BS5" s="692">
        <v>588.16565136459417</v>
      </c>
      <c r="BT5" s="692">
        <v>578.59310978453971</v>
      </c>
      <c r="BU5" s="692">
        <v>591.68793933280404</v>
      </c>
      <c r="BV5" s="691">
        <v>588.2779428019096</v>
      </c>
      <c r="BW5" s="695">
        <v>615.77771190151486</v>
      </c>
      <c r="BX5" s="681">
        <v>617.63408079242117</v>
      </c>
      <c r="BY5" s="681">
        <v>658.99731512848314</v>
      </c>
      <c r="BZ5" s="681">
        <v>667.35820422058589</v>
      </c>
      <c r="CA5" s="681">
        <v>622.7339621872494</v>
      </c>
      <c r="CB5" s="681">
        <v>688.28393009995705</v>
      </c>
      <c r="CC5" s="696">
        <f t="shared" si="0"/>
        <v>7365.9630798901289</v>
      </c>
      <c r="CE5" s="697" t="s">
        <v>1049</v>
      </c>
      <c r="CH5" s="2260"/>
      <c r="CI5" s="879"/>
      <c r="CK5" s="879"/>
    </row>
    <row r="6" spans="1:89" ht="18.75" x14ac:dyDescent="0.25">
      <c r="B6" s="142" t="s">
        <v>1046</v>
      </c>
      <c r="C6" s="704">
        <v>11.082028710000001</v>
      </c>
      <c r="D6" s="704">
        <v>13.270841390000001</v>
      </c>
      <c r="E6" s="704">
        <v>13.240780590000004</v>
      </c>
      <c r="F6" s="704">
        <v>12.888606990000007</v>
      </c>
      <c r="G6" s="704">
        <v>14.131231643521081</v>
      </c>
      <c r="H6" s="704">
        <v>14.267778782545445</v>
      </c>
      <c r="I6" s="704">
        <v>14.100355452353547</v>
      </c>
      <c r="J6" s="704">
        <v>13.24559092398</v>
      </c>
      <c r="K6" s="704">
        <v>12.158027105787999</v>
      </c>
      <c r="L6" s="704">
        <v>13.81206407494</v>
      </c>
      <c r="M6" s="1039">
        <v>13.028440831000001</v>
      </c>
      <c r="N6" s="2359">
        <v>11.725756846000007</v>
      </c>
      <c r="O6" s="705"/>
      <c r="P6" s="705" t="e">
        <f>+M5/#REF!*100</f>
        <v>#REF!</v>
      </c>
      <c r="Q6" s="683">
        <f t="shared" si="1"/>
        <v>6749.64</v>
      </c>
      <c r="S6" s="706">
        <v>8</v>
      </c>
      <c r="T6" s="707" t="s">
        <v>1046</v>
      </c>
      <c r="U6" s="708" t="e">
        <f t="shared" si="5"/>
        <v>#REF!</v>
      </c>
      <c r="V6" s="708">
        <f>+M5</f>
        <v>40.004536817272594</v>
      </c>
      <c r="W6" s="708" t="e">
        <f>+#REF!</f>
        <v>#REF!</v>
      </c>
      <c r="X6" s="135">
        <f>+M5/K6-1</f>
        <v>2.2903806241908997</v>
      </c>
      <c r="Y6" s="709"/>
      <c r="Z6" s="709" t="s">
        <v>112</v>
      </c>
      <c r="AA6" s="709">
        <v>6.2124818355207667</v>
      </c>
      <c r="AB6" s="709"/>
      <c r="AC6" s="709"/>
      <c r="AD6" s="709" t="s">
        <v>1045</v>
      </c>
      <c r="AE6" s="709">
        <f>VLOOKUP(AD6,[9]Sheet1!$A:$I,7,0)</f>
        <v>19849.66</v>
      </c>
      <c r="AF6" s="709"/>
      <c r="AG6" s="709"/>
      <c r="AH6" s="709"/>
      <c r="AI6" s="709"/>
      <c r="AJ6" s="709"/>
      <c r="AK6" s="709"/>
      <c r="AL6" s="709"/>
      <c r="AM6" s="709"/>
      <c r="AN6" s="24" t="s">
        <v>1392</v>
      </c>
      <c r="AO6" s="93">
        <v>158.40685351999804</v>
      </c>
      <c r="AP6" s="93">
        <v>0.85945318606539445</v>
      </c>
      <c r="AQ6" s="712"/>
      <c r="AR6" s="710" t="e">
        <f t="shared" si="2"/>
        <v>#REF!</v>
      </c>
      <c r="AT6" s="711" t="s">
        <v>1414</v>
      </c>
      <c r="AU6">
        <v>9306.7581799999698</v>
      </c>
      <c r="AV6">
        <v>7656.4935699999887</v>
      </c>
      <c r="AW6">
        <v>6235.6723000000093</v>
      </c>
      <c r="AX6">
        <v>5960.8562199999969</v>
      </c>
      <c r="AY6">
        <v>6632.3055200000008</v>
      </c>
      <c r="AZ6">
        <v>7150.4293600000183</v>
      </c>
      <c r="BA6">
        <v>6720.9720399999887</v>
      </c>
      <c r="BB6">
        <v>6563.5669851158964</v>
      </c>
      <c r="BC6">
        <v>6301.5391187901123</v>
      </c>
      <c r="BD6">
        <f t="shared" si="3"/>
        <v>5586.4816403750965</v>
      </c>
      <c r="BE6">
        <v>6254.8721170070903</v>
      </c>
      <c r="BF6" t="s">
        <v>1045</v>
      </c>
      <c r="BG6">
        <v>27968.993710450231</v>
      </c>
      <c r="BJ6" s="711" t="s">
        <v>1414</v>
      </c>
      <c r="BK6" t="e">
        <f t="shared" si="4"/>
        <v>#VALUE!</v>
      </c>
      <c r="BL6">
        <f t="shared" si="4"/>
        <v>27.968993710450231</v>
      </c>
      <c r="BP6" s="690" t="s">
        <v>1059</v>
      </c>
      <c r="BQ6" s="691">
        <v>72.280297494163364</v>
      </c>
      <c r="BR6" s="691">
        <v>67.702061635797634</v>
      </c>
      <c r="BS6" s="692">
        <v>45.28821230894939</v>
      </c>
      <c r="BT6" s="692">
        <v>23.241758241245112</v>
      </c>
      <c r="BU6" s="692">
        <v>31.547752885603067</v>
      </c>
      <c r="BV6" s="691">
        <v>40.965378799221753</v>
      </c>
      <c r="BW6" s="695">
        <v>33.562834988326792</v>
      </c>
      <c r="BX6" s="681">
        <v>38.470309175097206</v>
      </c>
      <c r="BY6" s="681">
        <v>39.73290410894937</v>
      </c>
      <c r="BZ6" s="681">
        <v>33.312839610116662</v>
      </c>
      <c r="CA6" s="681">
        <v>33.273834490272328</v>
      </c>
      <c r="CB6" s="681">
        <v>30.202349634241202</v>
      </c>
      <c r="CC6" s="696">
        <f t="shared" si="0"/>
        <v>489.58053337198396</v>
      </c>
      <c r="CE6" s="697" t="s">
        <v>1059</v>
      </c>
      <c r="CH6" s="2260"/>
      <c r="CI6" s="879"/>
      <c r="CK6" s="879"/>
    </row>
    <row r="7" spans="1:89" ht="18.75" x14ac:dyDescent="0.25">
      <c r="B7" s="142" t="s">
        <v>1049</v>
      </c>
      <c r="C7" s="704">
        <v>5.7249376500000038</v>
      </c>
      <c r="D7" s="704">
        <v>6.2636860900000046</v>
      </c>
      <c r="E7" s="704">
        <v>6.9993654299999877</v>
      </c>
      <c r="F7" s="704">
        <v>7.6348632700000039</v>
      </c>
      <c r="G7" s="704">
        <v>8.3020577689257067</v>
      </c>
      <c r="H7" s="704">
        <v>7.9986090355175374</v>
      </c>
      <c r="I7" s="704">
        <v>3.6977549794394879</v>
      </c>
      <c r="J7" s="704">
        <v>5.0079625058782602</v>
      </c>
      <c r="K7" s="704">
        <v>7.3660943996401356</v>
      </c>
      <c r="L7" s="704">
        <v>8.2470379157649738</v>
      </c>
      <c r="M7" s="1039">
        <v>8.984572328757622</v>
      </c>
      <c r="N7" s="2359">
        <v>9.1613989457124472</v>
      </c>
      <c r="O7" s="705"/>
      <c r="P7" s="705" t="e">
        <f>+M7/#REF!*100</f>
        <v>#REF!</v>
      </c>
      <c r="Q7" s="683">
        <f t="shared" si="1"/>
        <v>4377.16</v>
      </c>
      <c r="S7" s="706">
        <v>10</v>
      </c>
      <c r="T7" s="707" t="s">
        <v>1049</v>
      </c>
      <c r="U7" s="708" t="e">
        <f t="shared" si="5"/>
        <v>#REF!</v>
      </c>
      <c r="V7" s="708">
        <f t="shared" ref="V7:V15" si="6">+M7</f>
        <v>8.984572328757622</v>
      </c>
      <c r="W7" s="708" t="e">
        <f>+#REF!</f>
        <v>#REF!</v>
      </c>
      <c r="X7" s="135">
        <f t="shared" ref="X7:X15" si="7">+M7/K7-1</f>
        <v>0.21971995487819918</v>
      </c>
      <c r="Y7" s="709"/>
      <c r="Z7" s="709" t="s">
        <v>1051</v>
      </c>
      <c r="AA7" s="709">
        <v>6.1726571993654389</v>
      </c>
      <c r="AB7" s="709"/>
      <c r="AC7" s="709"/>
      <c r="AD7" s="709" t="s">
        <v>1049</v>
      </c>
      <c r="AE7" s="709">
        <f>VLOOKUP(AD7,[9]Sheet1!$A:$I,7,0)</f>
        <v>4377.16</v>
      </c>
      <c r="AF7" s="709"/>
      <c r="AG7" s="709"/>
      <c r="AH7" s="709"/>
      <c r="AI7" s="709"/>
      <c r="AJ7" s="709"/>
      <c r="AK7" s="709"/>
      <c r="AL7" s="709"/>
      <c r="AM7" s="709"/>
      <c r="AN7" s="24" t="s">
        <v>1090</v>
      </c>
      <c r="AO7" s="93">
        <v>165.52011813299228</v>
      </c>
      <c r="AP7" s="93">
        <v>4.5</v>
      </c>
      <c r="AQ7" s="712"/>
      <c r="AR7" s="710" t="e">
        <f t="shared" si="2"/>
        <v>#REF!</v>
      </c>
      <c r="AT7" s="711" t="s">
        <v>1050</v>
      </c>
      <c r="AU7">
        <v>64749.976630006568</v>
      </c>
      <c r="AV7">
        <v>69080.048929988552</v>
      </c>
      <c r="AW7">
        <v>68363.923709999086</v>
      </c>
      <c r="AX7">
        <v>69416.220119993057</v>
      </c>
      <c r="AY7">
        <v>74647.07201000223</v>
      </c>
      <c r="AZ7">
        <v>76026.571259997334</v>
      </c>
      <c r="BA7">
        <v>81073.436459989083</v>
      </c>
      <c r="BB7">
        <v>83528.148922574866</v>
      </c>
      <c r="BC7">
        <v>82602.012505469669</v>
      </c>
      <c r="BD7">
        <f t="shared" si="3"/>
        <v>72712.727140729839</v>
      </c>
      <c r="BE7">
        <v>76686.935477072548</v>
      </c>
      <c r="BF7" t="s">
        <v>1049</v>
      </c>
      <c r="BG7">
        <v>3697.7549794394881</v>
      </c>
      <c r="BJ7" s="711" t="s">
        <v>1050</v>
      </c>
      <c r="BK7" t="e">
        <f t="shared" si="4"/>
        <v>#VALUE!</v>
      </c>
      <c r="BL7">
        <f t="shared" si="4"/>
        <v>3.6977549794394879</v>
      </c>
      <c r="BP7" s="690" t="s">
        <v>1050</v>
      </c>
      <c r="BQ7" s="691">
        <v>7199.1873331544466</v>
      </c>
      <c r="BR7" s="691">
        <v>7287.412391988988</v>
      </c>
      <c r="BS7" s="692">
        <v>7673.903464770925</v>
      </c>
      <c r="BT7" s="692">
        <v>6633.3598878375333</v>
      </c>
      <c r="BU7" s="692">
        <v>6342.5730964543636</v>
      </c>
      <c r="BV7" s="691">
        <v>6252.5197197359957</v>
      </c>
      <c r="BW7" s="695">
        <v>6985.9567460913413</v>
      </c>
      <c r="BX7" s="681">
        <v>7762.7706584850048</v>
      </c>
      <c r="BY7" s="681">
        <v>7786.431771891218</v>
      </c>
      <c r="BZ7" s="681">
        <v>7178.7615231303271</v>
      </c>
      <c r="CA7" s="681">
        <v>6998.1473432565599</v>
      </c>
      <c r="CB7" s="681">
        <v>7794.7450439872928</v>
      </c>
      <c r="CC7" s="696">
        <f t="shared" si="0"/>
        <v>85895.768980783978</v>
      </c>
      <c r="CE7" s="697" t="s">
        <v>1050</v>
      </c>
      <c r="CH7" s="2260"/>
      <c r="CI7" s="879"/>
      <c r="CK7" s="879"/>
    </row>
    <row r="8" spans="1:89" ht="18.75" x14ac:dyDescent="0.25">
      <c r="B8" s="142" t="s">
        <v>1059</v>
      </c>
      <c r="C8" s="704">
        <v>7.0867181899998926</v>
      </c>
      <c r="D8" s="704">
        <v>6.8263065899999678</v>
      </c>
      <c r="E8" s="704">
        <v>5.3968133900000197</v>
      </c>
      <c r="F8" s="704">
        <v>3.8451181100000049</v>
      </c>
      <c r="G8" s="704">
        <v>3.4594582651112664</v>
      </c>
      <c r="H8" s="704">
        <v>2.3968245022973789</v>
      </c>
      <c r="I8" s="704">
        <v>1.797871249070039</v>
      </c>
      <c r="J8" s="704">
        <v>1.4933712547361866</v>
      </c>
      <c r="K8" s="704">
        <v>0.48958053337198393</v>
      </c>
      <c r="L8" s="704">
        <v>0.47907528757198442</v>
      </c>
      <c r="M8" s="1039">
        <v>0.40774494099455255</v>
      </c>
      <c r="N8" s="2359">
        <v>0.45964324241245147</v>
      </c>
      <c r="O8" s="705"/>
      <c r="P8" s="705" t="e">
        <f>+M8/#REF!*100</f>
        <v>#REF!</v>
      </c>
      <c r="Q8" s="683">
        <f t="shared" si="1"/>
        <v>204.92999999999995</v>
      </c>
      <c r="S8" s="706">
        <v>12</v>
      </c>
      <c r="T8" s="707" t="s">
        <v>1059</v>
      </c>
      <c r="U8" s="708" t="e">
        <f t="shared" si="5"/>
        <v>#REF!</v>
      </c>
      <c r="V8" s="708">
        <f t="shared" si="6"/>
        <v>0.40774494099455255</v>
      </c>
      <c r="W8" s="708" t="e">
        <f>+#REF!</f>
        <v>#REF!</v>
      </c>
      <c r="X8" s="135">
        <f t="shared" si="7"/>
        <v>-0.16715450635626594</v>
      </c>
      <c r="Y8" s="709"/>
      <c r="Z8" s="709" t="s">
        <v>1157</v>
      </c>
      <c r="AA8" s="709">
        <v>5.8332371734662214</v>
      </c>
      <c r="AB8" s="709"/>
      <c r="AC8" s="709"/>
      <c r="AD8" s="709" t="s">
        <v>1059</v>
      </c>
      <c r="AE8" s="709">
        <f>VLOOKUP(AD8,[9]Sheet1!$A:$I,7,0)</f>
        <v>204.92999999999995</v>
      </c>
      <c r="AF8" s="709"/>
      <c r="AG8" s="709"/>
      <c r="AH8" s="709"/>
      <c r="AI8" s="709"/>
      <c r="AJ8" s="709"/>
      <c r="AK8" s="709"/>
      <c r="AL8" s="709"/>
      <c r="AM8" s="709"/>
      <c r="AN8" s="24" t="s">
        <v>1393</v>
      </c>
      <c r="AO8" s="93">
        <v>184.67390277700176</v>
      </c>
      <c r="AP8" s="93">
        <v>11.6</v>
      </c>
      <c r="AQ8" s="712"/>
      <c r="AR8" s="710" t="e">
        <f t="shared" si="2"/>
        <v>#REF!</v>
      </c>
      <c r="AT8" s="707" t="s">
        <v>1059</v>
      </c>
      <c r="AU8">
        <v>8228.5972700000002</v>
      </c>
      <c r="AV8">
        <v>7501.5033499998599</v>
      </c>
      <c r="AW8">
        <v>7164.7700399999503</v>
      </c>
      <c r="AX8">
        <v>7086.7181899998923</v>
      </c>
      <c r="AY8">
        <v>6826.3065899999674</v>
      </c>
      <c r="AZ8">
        <v>5396.8133900000194</v>
      </c>
      <c r="BA8">
        <v>3845.1181100000049</v>
      </c>
      <c r="BB8">
        <v>3459.4582651112664</v>
      </c>
      <c r="BC8">
        <v>2396.8245022973788</v>
      </c>
      <c r="BD8">
        <f t="shared" si="3"/>
        <v>1797.8712490700391</v>
      </c>
      <c r="BE8">
        <v>1493.6562577362229</v>
      </c>
      <c r="BF8" t="s">
        <v>1059</v>
      </c>
      <c r="BG8">
        <v>1797.8712490700391</v>
      </c>
      <c r="BJ8" s="707" t="s">
        <v>1059</v>
      </c>
      <c r="BK8" t="e">
        <f t="shared" si="4"/>
        <v>#VALUE!</v>
      </c>
      <c r="BL8">
        <f t="shared" si="4"/>
        <v>1.797871249070039</v>
      </c>
      <c r="BP8" s="690" t="s">
        <v>1051</v>
      </c>
      <c r="BQ8" s="691">
        <v>52.144594865187806</v>
      </c>
      <c r="BR8" s="691">
        <v>54.75970351877146</v>
      </c>
      <c r="BS8" s="692">
        <v>57.364017035836255</v>
      </c>
      <c r="BT8" s="692">
        <v>60.006189686006977</v>
      </c>
      <c r="BU8" s="692">
        <v>66.313297252559792</v>
      </c>
      <c r="BV8" s="691">
        <v>62.048575563139977</v>
      </c>
      <c r="BW8" s="695">
        <v>66.194867899317558</v>
      </c>
      <c r="BX8" s="681">
        <v>56.361904020477915</v>
      </c>
      <c r="BY8" s="681">
        <v>65.139323609215168</v>
      </c>
      <c r="BZ8" s="681">
        <v>50.328342911834596</v>
      </c>
      <c r="CA8" s="681">
        <v>56.184831546646897</v>
      </c>
      <c r="CB8" s="681">
        <v>78.598953730947102</v>
      </c>
      <c r="CC8" s="696">
        <f t="shared" si="0"/>
        <v>725.44460163994154</v>
      </c>
      <c r="CE8" s="697" t="s">
        <v>1051</v>
      </c>
      <c r="CH8" s="2260"/>
      <c r="CI8" s="879"/>
      <c r="CK8" s="879"/>
    </row>
    <row r="9" spans="1:89" ht="18.75" x14ac:dyDescent="0.25">
      <c r="B9" s="142" t="s">
        <v>1050</v>
      </c>
      <c r="C9" s="704">
        <v>69.416220119993056</v>
      </c>
      <c r="D9" s="704">
        <v>74.647072010002233</v>
      </c>
      <c r="E9" s="704">
        <v>76.02657125999734</v>
      </c>
      <c r="F9" s="704">
        <v>81.073436459989082</v>
      </c>
      <c r="G9" s="704">
        <v>83.528148922574871</v>
      </c>
      <c r="H9" s="704">
        <v>82.602012505469673</v>
      </c>
      <c r="I9" s="704">
        <v>72.712727140729839</v>
      </c>
      <c r="J9" s="704">
        <v>76.658718442333864</v>
      </c>
      <c r="K9" s="704">
        <v>85.897823099062961</v>
      </c>
      <c r="L9" s="704">
        <v>89.626171190735647</v>
      </c>
      <c r="M9" s="1039">
        <v>91.408501622980523</v>
      </c>
      <c r="N9" s="2359">
        <v>94.707574415989114</v>
      </c>
      <c r="O9" s="705"/>
      <c r="P9" s="705" t="e">
        <f>+M9/#REF!*100</f>
        <v>#REF!</v>
      </c>
      <c r="Q9" s="683">
        <f t="shared" si="1"/>
        <v>44387.729999999996</v>
      </c>
      <c r="S9" s="706">
        <v>9</v>
      </c>
      <c r="T9" s="707" t="s">
        <v>1050</v>
      </c>
      <c r="U9" s="708" t="e">
        <f t="shared" si="5"/>
        <v>#REF!</v>
      </c>
      <c r="V9" s="708">
        <f t="shared" si="6"/>
        <v>91.408501622980523</v>
      </c>
      <c r="W9" s="708" t="e">
        <f>+#REF!</f>
        <v>#REF!</v>
      </c>
      <c r="X9" s="135">
        <f t="shared" si="7"/>
        <v>6.4153878702633671E-2</v>
      </c>
      <c r="Y9" s="709"/>
      <c r="Z9" s="709" t="s">
        <v>1054</v>
      </c>
      <c r="AA9" s="709">
        <v>5.2353816395070751</v>
      </c>
      <c r="AB9" s="709"/>
      <c r="AC9" s="709"/>
      <c r="AD9" s="709" t="s">
        <v>1050</v>
      </c>
      <c r="AE9" s="709">
        <f>VLOOKUP(AD9,[9]Sheet1!$A:$I,7,0)</f>
        <v>44387.729999999996</v>
      </c>
      <c r="AF9" s="709"/>
      <c r="AG9" s="709"/>
      <c r="AH9" s="709"/>
      <c r="AI9" s="709"/>
      <c r="AJ9" s="709"/>
      <c r="AK9" s="709"/>
      <c r="AL9" s="709"/>
      <c r="AM9" s="709"/>
      <c r="AN9" s="24" t="s">
        <v>1394</v>
      </c>
      <c r="AO9" s="93">
        <v>194.59726743199673</v>
      </c>
      <c r="AP9" s="93">
        <v>5.4</v>
      </c>
      <c r="AQ9" s="712"/>
      <c r="AR9" s="710" t="e">
        <f t="shared" si="2"/>
        <v>#REF!</v>
      </c>
      <c r="AT9" s="711" t="s">
        <v>1051</v>
      </c>
      <c r="AU9">
        <v>414.77875000000063</v>
      </c>
      <c r="AV9">
        <v>398.54502000000144</v>
      </c>
      <c r="AW9">
        <v>386.31654000000003</v>
      </c>
      <c r="AX9">
        <v>365.2634500000006</v>
      </c>
      <c r="AY9">
        <v>407.10756000000026</v>
      </c>
      <c r="AZ9">
        <v>448.98441000000059</v>
      </c>
      <c r="BA9">
        <v>523.78752000000145</v>
      </c>
      <c r="BB9">
        <v>597.96845509385446</v>
      </c>
      <c r="BC9">
        <v>627.79954463993192</v>
      </c>
      <c r="BD9">
        <f t="shared" si="3"/>
        <v>855.06422402389092</v>
      </c>
      <c r="BE9">
        <v>1020.4930072414608</v>
      </c>
      <c r="BF9" t="s">
        <v>1050</v>
      </c>
      <c r="BG9">
        <v>72712.727140729839</v>
      </c>
      <c r="BJ9" s="711" t="s">
        <v>1051</v>
      </c>
      <c r="BK9" t="e">
        <f t="shared" si="4"/>
        <v>#VALUE!</v>
      </c>
      <c r="BL9">
        <f t="shared" si="4"/>
        <v>72.712727140729839</v>
      </c>
      <c r="BP9" s="690" t="s">
        <v>1066</v>
      </c>
      <c r="BQ9" s="691">
        <v>318.15985086067673</v>
      </c>
      <c r="BR9" s="691">
        <v>300.93277675023336</v>
      </c>
      <c r="BS9" s="692">
        <v>290.91766151582772</v>
      </c>
      <c r="BT9" s="692">
        <v>310.69275157235023</v>
      </c>
      <c r="BU9" s="692">
        <v>242.84098377203108</v>
      </c>
      <c r="BV9" s="691">
        <v>266.26712165285255</v>
      </c>
      <c r="BW9" s="695">
        <v>354.73666895445012</v>
      </c>
      <c r="BX9" s="681">
        <v>301.90531224816465</v>
      </c>
      <c r="BY9" s="681">
        <v>297.37750339203757</v>
      </c>
      <c r="BZ9" s="681">
        <v>354.32284224477888</v>
      </c>
      <c r="CA9" s="681">
        <v>347.82807379072113</v>
      </c>
      <c r="CB9" s="681">
        <v>436.53159299877814</v>
      </c>
      <c r="CC9" s="696">
        <f t="shared" si="0"/>
        <v>3822.5131397529017</v>
      </c>
      <c r="CE9" s="697" t="s">
        <v>1415</v>
      </c>
      <c r="CH9" s="2261"/>
      <c r="CI9" s="879"/>
      <c r="CK9" s="879"/>
    </row>
    <row r="10" spans="1:89" ht="18.75" x14ac:dyDescent="0.25">
      <c r="B10" s="142" t="s">
        <v>1051</v>
      </c>
      <c r="C10" s="704">
        <v>0.3652634500000006</v>
      </c>
      <c r="D10" s="704">
        <v>0.40710756000000026</v>
      </c>
      <c r="E10" s="704">
        <v>0.44898441000000061</v>
      </c>
      <c r="F10" s="704">
        <v>0.52378752000000151</v>
      </c>
      <c r="G10" s="704">
        <v>0.59796845509385443</v>
      </c>
      <c r="H10" s="704">
        <v>0.62779954463993193</v>
      </c>
      <c r="I10" s="704">
        <v>0.85506422402389093</v>
      </c>
      <c r="J10" s="704">
        <v>1.0174963409616049</v>
      </c>
      <c r="K10" s="704">
        <v>0.72494523013993306</v>
      </c>
      <c r="L10" s="704">
        <v>0.78189494468600684</v>
      </c>
      <c r="M10" s="1039">
        <v>0.83818079508475518</v>
      </c>
      <c r="N10" s="2359">
        <v>1.0093309206143346</v>
      </c>
      <c r="O10" s="705"/>
      <c r="P10" s="705" t="e">
        <f>+M10/#REF!*100</f>
        <v>#REF!</v>
      </c>
      <c r="Q10" s="683">
        <f t="shared" si="1"/>
        <v>390.22</v>
      </c>
      <c r="S10" s="706">
        <v>5</v>
      </c>
      <c r="T10" s="707" t="s">
        <v>1051</v>
      </c>
      <c r="U10" s="708" t="e">
        <f t="shared" si="5"/>
        <v>#REF!</v>
      </c>
      <c r="V10" s="708">
        <f t="shared" si="6"/>
        <v>0.83818079508475518</v>
      </c>
      <c r="W10" s="708" t="e">
        <f>+#REF!</f>
        <v>#REF!</v>
      </c>
      <c r="X10" s="135">
        <f t="shared" si="7"/>
        <v>0.15619878611100702</v>
      </c>
      <c r="Y10" s="709"/>
      <c r="Z10" s="713" t="s">
        <v>1049</v>
      </c>
      <c r="AA10" s="709">
        <v>3.4002679922733758</v>
      </c>
      <c r="AB10" s="709"/>
      <c r="AC10" s="709"/>
      <c r="AD10" s="709" t="s">
        <v>1051</v>
      </c>
      <c r="AE10" s="709">
        <f>VLOOKUP(AD10,[9]Sheet1!$A:$I,7,0)</f>
        <v>390.22</v>
      </c>
      <c r="AF10" s="709"/>
      <c r="AG10" s="709"/>
      <c r="AH10" s="709"/>
      <c r="AI10" s="709"/>
      <c r="AJ10" s="709"/>
      <c r="AK10" s="709"/>
      <c r="AL10" s="709"/>
      <c r="AM10" s="709"/>
      <c r="AN10" s="24" t="s">
        <v>1395</v>
      </c>
      <c r="AO10" s="93">
        <v>206.16616683998814</v>
      </c>
      <c r="AP10" s="93">
        <v>5.9</v>
      </c>
      <c r="AQ10" s="712"/>
      <c r="AR10" s="710" t="e">
        <f t="shared" si="2"/>
        <v>#REF!</v>
      </c>
      <c r="AT10" s="711" t="s">
        <v>112</v>
      </c>
      <c r="AU10">
        <v>15349.658957000021</v>
      </c>
      <c r="AV10">
        <v>15600.640683999594</v>
      </c>
      <c r="AW10">
        <v>16293.648825999921</v>
      </c>
      <c r="AX10">
        <v>18000.102374999984</v>
      </c>
      <c r="AY10">
        <v>19623.222261999977</v>
      </c>
      <c r="AZ10">
        <v>21608.21023799992</v>
      </c>
      <c r="BA10">
        <v>23341.821038999697</v>
      </c>
      <c r="BB10">
        <v>24906.789338279406</v>
      </c>
      <c r="BC10">
        <v>26329.779999006474</v>
      </c>
      <c r="BD10">
        <f t="shared" si="3"/>
        <v>27558.426378406992</v>
      </c>
      <c r="BE10">
        <v>28329.712289991377</v>
      </c>
      <c r="BF10" t="s">
        <v>1051</v>
      </c>
      <c r="BG10">
        <v>855.06422402389092</v>
      </c>
      <c r="BJ10" s="711" t="s">
        <v>112</v>
      </c>
      <c r="BK10" t="e">
        <f t="shared" si="4"/>
        <v>#VALUE!</v>
      </c>
      <c r="BL10">
        <f t="shared" si="4"/>
        <v>0.85506422402389093</v>
      </c>
      <c r="BP10" s="134" t="s">
        <v>1414</v>
      </c>
      <c r="BQ10" s="691">
        <v>521.98866237434288</v>
      </c>
      <c r="BR10" s="691">
        <v>548.23240154108817</v>
      </c>
      <c r="BS10" s="692">
        <v>550.1891899176386</v>
      </c>
      <c r="BT10" s="692">
        <v>557.55925340924466</v>
      </c>
      <c r="BU10" s="692">
        <v>616.91066226897328</v>
      </c>
      <c r="BV10" s="691">
        <v>604.33032620700055</v>
      </c>
      <c r="BW10" s="695">
        <v>592.40085773137446</v>
      </c>
      <c r="BX10" s="681">
        <v>579.4417251773192</v>
      </c>
      <c r="BY10" s="681">
        <v>622.03176194616333</v>
      </c>
      <c r="BZ10" s="681">
        <v>601.05169441625605</v>
      </c>
      <c r="CA10" s="681">
        <v>568.63793871446069</v>
      </c>
      <c r="CB10" s="681">
        <v>584.38721860228486</v>
      </c>
      <c r="CC10" s="696">
        <f t="shared" si="0"/>
        <v>6947.1616923061465</v>
      </c>
      <c r="CE10" s="697" t="s">
        <v>1416</v>
      </c>
      <c r="CH10" s="2260"/>
      <c r="CI10" s="879"/>
      <c r="CK10" s="879"/>
    </row>
    <row r="11" spans="1:89" ht="18.75" x14ac:dyDescent="0.25">
      <c r="B11" s="142" t="s">
        <v>1066</v>
      </c>
      <c r="C11" s="704">
        <v>3.310012529999911</v>
      </c>
      <c r="D11" s="704">
        <v>3.5711605999999745</v>
      </c>
      <c r="E11" s="704">
        <v>3.4700676399999506</v>
      </c>
      <c r="F11" s="704">
        <v>3.883883311999889</v>
      </c>
      <c r="G11" s="704">
        <v>3.6679440164188035</v>
      </c>
      <c r="H11" s="704">
        <v>3.833387781892208</v>
      </c>
      <c r="I11" s="704">
        <v>4.0972981706979192</v>
      </c>
      <c r="J11" s="704">
        <v>4.5403418109611131</v>
      </c>
      <c r="K11" s="704">
        <v>3.7394941578492924</v>
      </c>
      <c r="L11" s="704">
        <v>4.0872046504576636</v>
      </c>
      <c r="M11" s="1039">
        <v>4.5504984442979728</v>
      </c>
      <c r="N11" s="2359">
        <v>4.9614841388130699</v>
      </c>
      <c r="O11" s="705"/>
      <c r="P11" s="705" t="e">
        <f>+M11/#REF!*100</f>
        <v>#REF!</v>
      </c>
      <c r="Q11" s="683">
        <f t="shared" si="1"/>
        <v>2324.3000000000002</v>
      </c>
      <c r="S11" s="706">
        <v>7</v>
      </c>
      <c r="T11" s="707" t="s">
        <v>1066</v>
      </c>
      <c r="U11" s="708" t="e">
        <f t="shared" si="5"/>
        <v>#REF!</v>
      </c>
      <c r="V11" s="708">
        <f t="shared" si="6"/>
        <v>4.5504984442979728</v>
      </c>
      <c r="W11" s="708" t="e">
        <f>+#REF!</f>
        <v>#REF!</v>
      </c>
      <c r="X11" s="135">
        <f t="shared" si="7"/>
        <v>0.21687539870770012</v>
      </c>
      <c r="Y11" s="709"/>
      <c r="Z11" s="707" t="s">
        <v>1050</v>
      </c>
      <c r="AA11" s="709">
        <v>2.202592777427359</v>
      </c>
      <c r="AB11" s="709"/>
      <c r="AC11" s="709"/>
      <c r="AD11" s="709" t="s">
        <v>1066</v>
      </c>
      <c r="AE11" s="709">
        <v>2324.3000000000002</v>
      </c>
      <c r="AF11" s="709"/>
      <c r="AG11" s="709"/>
      <c r="AH11" s="709"/>
      <c r="AI11" s="709"/>
      <c r="AJ11" s="709"/>
      <c r="AK11" s="709"/>
      <c r="AL11" s="709"/>
      <c r="AM11" s="709"/>
      <c r="AN11" s="24" t="s">
        <v>7</v>
      </c>
      <c r="AO11" s="93">
        <v>213.21625920886623</v>
      </c>
      <c r="AP11" s="93">
        <v>3.4196165534521912</v>
      </c>
      <c r="AQ11" s="712"/>
      <c r="AR11" s="710" t="e">
        <f t="shared" si="2"/>
        <v>#REF!</v>
      </c>
      <c r="AT11" s="707" t="s">
        <v>1066</v>
      </c>
      <c r="AU11">
        <v>2632.6419309998919</v>
      </c>
      <c r="AV11">
        <v>3195.9004009997934</v>
      </c>
      <c r="AW11">
        <v>3305.3054349999056</v>
      </c>
      <c r="AX11">
        <v>3310.0125299999108</v>
      </c>
      <c r="AY11">
        <v>3571.1605999999747</v>
      </c>
      <c r="AZ11">
        <v>3470.0676399999506</v>
      </c>
      <c r="BA11">
        <v>3883.883311999889</v>
      </c>
      <c r="BB11">
        <v>3667.9440164188036</v>
      </c>
      <c r="BC11">
        <v>3833.3877818922078</v>
      </c>
      <c r="BD11">
        <f t="shared" si="3"/>
        <v>4097.298170697919</v>
      </c>
      <c r="BE11">
        <v>4570.0049774841818</v>
      </c>
      <c r="BF11" s="707" t="s">
        <v>1066</v>
      </c>
      <c r="BG11">
        <v>4097.298170697919</v>
      </c>
      <c r="BJ11" s="707" t="s">
        <v>1066</v>
      </c>
      <c r="BK11" t="e">
        <f t="shared" si="4"/>
        <v>#VALUE!</v>
      </c>
      <c r="BL11">
        <f t="shared" si="4"/>
        <v>4.0972981706979192</v>
      </c>
      <c r="BP11" s="690" t="s">
        <v>1054</v>
      </c>
      <c r="BQ11" s="691">
        <v>801.00710599999957</v>
      </c>
      <c r="BR11" s="691">
        <v>734.11074499999791</v>
      </c>
      <c r="BS11" s="692">
        <v>689.77175699999918</v>
      </c>
      <c r="BT11" s="692">
        <v>340.90964900000057</v>
      </c>
      <c r="BU11" s="692">
        <v>316.36073500000037</v>
      </c>
      <c r="BV11" s="691">
        <v>362.76035900000011</v>
      </c>
      <c r="BW11" s="695">
        <v>590.08131299999968</v>
      </c>
      <c r="BX11" s="681">
        <v>845.24538099999904</v>
      </c>
      <c r="BY11" s="681">
        <v>716.69817800000021</v>
      </c>
      <c r="BZ11" s="681">
        <v>658.71072949999893</v>
      </c>
      <c r="CA11" s="681">
        <v>801.09683649999999</v>
      </c>
      <c r="CB11" s="681">
        <v>932.76082650000137</v>
      </c>
      <c r="CC11" s="696">
        <f t="shared" si="0"/>
        <v>7789.5136154999973</v>
      </c>
      <c r="CE11" s="697" t="s">
        <v>1054</v>
      </c>
      <c r="CH11" s="2260"/>
      <c r="CI11" s="879"/>
      <c r="CK11" s="879"/>
    </row>
    <row r="12" spans="1:89" ht="18.75" x14ac:dyDescent="0.25">
      <c r="B12" s="142" t="s">
        <v>1414</v>
      </c>
      <c r="C12" s="704">
        <v>5.9608562199999966</v>
      </c>
      <c r="D12" s="704">
        <v>6.632305520000001</v>
      </c>
      <c r="E12" s="704">
        <v>7.1504293600000182</v>
      </c>
      <c r="F12" s="704">
        <v>6.7209720399999888</v>
      </c>
      <c r="G12" s="704">
        <v>6.5635669851158962</v>
      </c>
      <c r="H12" s="704">
        <v>6.301539118790112</v>
      </c>
      <c r="I12" s="704">
        <v>5.5864816403750961</v>
      </c>
      <c r="J12" s="704">
        <v>6.2618036042737808</v>
      </c>
      <c r="K12" s="704">
        <v>6.9543471907253949</v>
      </c>
      <c r="L12" s="704">
        <v>6.5204175811094931</v>
      </c>
      <c r="M12" s="1039">
        <v>6.436106437381456</v>
      </c>
      <c r="N12" s="2359">
        <v>6.3768721655208722</v>
      </c>
      <c r="O12" s="705"/>
      <c r="P12" s="705" t="e">
        <f>+M12/#REF!*100</f>
        <v>#REF!</v>
      </c>
      <c r="Q12" s="683">
        <f t="shared" si="1"/>
        <v>3317.96</v>
      </c>
      <c r="S12" s="706">
        <v>11</v>
      </c>
      <c r="T12" s="707" t="s">
        <v>1414</v>
      </c>
      <c r="U12" s="708" t="e">
        <f t="shared" si="5"/>
        <v>#REF!</v>
      </c>
      <c r="V12" s="708">
        <f t="shared" si="6"/>
        <v>6.436106437381456</v>
      </c>
      <c r="W12" s="708" t="e">
        <f>+#REF!</f>
        <v>#REF!</v>
      </c>
      <c r="X12" s="135">
        <f t="shared" si="7"/>
        <v>-7.4520402725231527E-2</v>
      </c>
      <c r="Y12" s="709"/>
      <c r="Z12" s="708" t="s">
        <v>1066</v>
      </c>
      <c r="AA12" s="709">
        <v>1.8065159300637568</v>
      </c>
      <c r="AB12" s="709"/>
      <c r="AC12" s="709"/>
      <c r="AD12" s="709" t="s">
        <v>1414</v>
      </c>
      <c r="AE12" s="709">
        <v>3317.96</v>
      </c>
      <c r="AF12" s="709"/>
      <c r="AG12" s="709"/>
      <c r="AH12" s="709"/>
      <c r="AI12" s="709"/>
      <c r="AJ12" s="709"/>
      <c r="AK12" s="709"/>
      <c r="AL12" s="709"/>
      <c r="AM12" s="709"/>
      <c r="AN12" s="24" t="s">
        <v>8</v>
      </c>
      <c r="AO12" s="93">
        <v>214.12662644980693</v>
      </c>
      <c r="AP12" s="93">
        <v>0.4269689583330063</v>
      </c>
      <c r="AQ12" s="712"/>
      <c r="AR12" s="710" t="e">
        <f t="shared" si="2"/>
        <v>#REF!</v>
      </c>
      <c r="AT12" s="707" t="s">
        <v>1045</v>
      </c>
      <c r="AU12">
        <v>14992.410169999541</v>
      </c>
      <c r="AV12">
        <v>15743.901039998997</v>
      </c>
      <c r="AW12">
        <v>17128.2559099992</v>
      </c>
      <c r="AX12">
        <v>19075.402439999474</v>
      </c>
      <c r="AY12">
        <v>21846.6308999996</v>
      </c>
      <c r="AZ12">
        <v>23764.934029999491</v>
      </c>
      <c r="BA12">
        <v>26174.47835999947</v>
      </c>
      <c r="BB12">
        <v>28284.413977447435</v>
      </c>
      <c r="BC12">
        <v>29975.488406249358</v>
      </c>
      <c r="BD12">
        <f t="shared" si="3"/>
        <v>27968.993710450231</v>
      </c>
      <c r="BE12">
        <v>30848.868653478581</v>
      </c>
      <c r="BF12" s="711" t="s">
        <v>1414</v>
      </c>
      <c r="BG12">
        <v>5586.4816403750965</v>
      </c>
      <c r="BJ12" s="707" t="s">
        <v>1045</v>
      </c>
      <c r="BK12" t="e">
        <f t="shared" si="4"/>
        <v>#VALUE!</v>
      </c>
      <c r="BL12">
        <f t="shared" si="4"/>
        <v>5.5864816403750961</v>
      </c>
      <c r="BP12" s="134" t="s">
        <v>1157</v>
      </c>
      <c r="BQ12" s="691">
        <v>1726.3581589999999</v>
      </c>
      <c r="BR12" s="691">
        <v>1472.0187880000001</v>
      </c>
      <c r="BS12" s="692">
        <v>1297.1051219999999</v>
      </c>
      <c r="BT12" s="692">
        <v>1668.6082549999999</v>
      </c>
      <c r="BU12" s="692">
        <v>1230.4696780000002</v>
      </c>
      <c r="BV12" s="691">
        <v>1381.8687869999997</v>
      </c>
      <c r="BW12" s="695">
        <v>1722.4656840000002</v>
      </c>
      <c r="BX12" s="681">
        <v>1514.6376369999994</v>
      </c>
      <c r="BY12" s="681">
        <v>1418.6007950000001</v>
      </c>
      <c r="BZ12" s="681">
        <v>1514.9071403300002</v>
      </c>
      <c r="CA12" s="681">
        <v>1492.9597843300003</v>
      </c>
      <c r="CB12" s="681">
        <v>1426.5371623299993</v>
      </c>
      <c r="CC12" s="696">
        <f t="shared" si="0"/>
        <v>17866.53699199</v>
      </c>
      <c r="CE12" s="697" t="s">
        <v>1417</v>
      </c>
      <c r="CH12" s="2260"/>
      <c r="CI12" s="879"/>
      <c r="CK12" s="879"/>
    </row>
    <row r="13" spans="1:89" ht="18.75" x14ac:dyDescent="0.25">
      <c r="B13" s="142" t="s">
        <v>1054</v>
      </c>
      <c r="C13" s="704">
        <v>5.0728328610000055</v>
      </c>
      <c r="D13" s="704">
        <v>5.937938753000009</v>
      </c>
      <c r="E13" s="704">
        <v>5.9355010180000169</v>
      </c>
      <c r="F13" s="704">
        <v>6.0858515270000115</v>
      </c>
      <c r="G13" s="704">
        <v>6.7076965820000245</v>
      </c>
      <c r="H13" s="704">
        <v>6.7203688499999874</v>
      </c>
      <c r="I13" s="704">
        <v>7.52391539</v>
      </c>
      <c r="J13" s="704">
        <v>7.8163297359999957</v>
      </c>
      <c r="K13" s="704">
        <v>8.0408461879999997</v>
      </c>
      <c r="L13" s="704">
        <v>8.8072478569999983</v>
      </c>
      <c r="M13" s="1039">
        <v>8.5815429005000006</v>
      </c>
      <c r="N13" s="2359">
        <v>8.6972997800000016</v>
      </c>
      <c r="O13" s="705"/>
      <c r="P13" s="705" t="e">
        <f>+M13/#REF!*100</f>
        <v>#REF!</v>
      </c>
      <c r="Q13" s="683">
        <f t="shared" si="1"/>
        <v>3836.71</v>
      </c>
      <c r="S13" s="706">
        <v>6</v>
      </c>
      <c r="T13" s="707" t="s">
        <v>1054</v>
      </c>
      <c r="U13" s="708" t="e">
        <f t="shared" si="5"/>
        <v>#REF!</v>
      </c>
      <c r="V13" s="708">
        <f t="shared" si="6"/>
        <v>8.5815429005000006</v>
      </c>
      <c r="W13" s="708" t="e">
        <f>+#REF!</f>
        <v>#REF!</v>
      </c>
      <c r="X13" s="135">
        <f t="shared" si="7"/>
        <v>6.7243757666565651E-2</v>
      </c>
      <c r="Y13" s="709"/>
      <c r="Z13" s="709" t="s">
        <v>1046</v>
      </c>
      <c r="AA13" s="709">
        <v>-7.5204269032846938E-2</v>
      </c>
      <c r="AB13" s="709"/>
      <c r="AC13" s="709"/>
      <c r="AD13" s="709" t="s">
        <v>1054</v>
      </c>
      <c r="AE13" s="709">
        <v>3836.71</v>
      </c>
      <c r="AF13" s="709"/>
      <c r="AG13" s="709"/>
      <c r="AH13" s="709"/>
      <c r="AI13" s="709"/>
      <c r="AJ13" s="709"/>
      <c r="AK13" s="709"/>
      <c r="AL13" s="709"/>
      <c r="AM13" s="709"/>
      <c r="AN13" s="714" t="s">
        <v>76</v>
      </c>
      <c r="AO13" s="93">
        <v>194.29532182622432</v>
      </c>
      <c r="AP13" s="93">
        <v>-9.2614846422339809</v>
      </c>
      <c r="AQ13" s="712"/>
      <c r="AR13" s="710" t="e">
        <f t="shared" si="2"/>
        <v>#REF!</v>
      </c>
      <c r="AT13" s="711" t="s">
        <v>1418</v>
      </c>
      <c r="AU13">
        <v>11221.512170000005</v>
      </c>
      <c r="AV13">
        <v>12289.368529999996</v>
      </c>
      <c r="AW13">
        <v>11305.202649999996</v>
      </c>
      <c r="AX13">
        <v>11082.028710000001</v>
      </c>
      <c r="AY13">
        <v>13270.841390000001</v>
      </c>
      <c r="AZ13">
        <v>13240.780590000004</v>
      </c>
      <c r="BA13">
        <v>12888.606990000007</v>
      </c>
      <c r="BB13">
        <v>14131.231643521081</v>
      </c>
      <c r="BC13">
        <v>14267.778782545445</v>
      </c>
      <c r="BD13">
        <f t="shared" si="3"/>
        <v>14100.355452353548</v>
      </c>
      <c r="BE13">
        <v>14276.578191979996</v>
      </c>
      <c r="BF13" t="s">
        <v>1054</v>
      </c>
      <c r="BG13">
        <v>7523.9153900000001</v>
      </c>
      <c r="BJ13" s="711" t="s">
        <v>1418</v>
      </c>
      <c r="BK13" t="e">
        <f t="shared" si="4"/>
        <v>#VALUE!</v>
      </c>
      <c r="BL13">
        <f t="shared" si="4"/>
        <v>7.52391539</v>
      </c>
      <c r="BP13" s="690" t="s">
        <v>148</v>
      </c>
      <c r="BQ13" s="691">
        <v>1282.7027685888902</v>
      </c>
      <c r="BR13" s="691">
        <v>1305.1502525769502</v>
      </c>
      <c r="BS13" s="692">
        <v>1190.6951926252827</v>
      </c>
      <c r="BT13" s="692">
        <v>1213.4155074498506</v>
      </c>
      <c r="BU13" s="692">
        <v>1516.4315686738532</v>
      </c>
      <c r="BV13" s="691">
        <v>1064.96767636857</v>
      </c>
      <c r="BW13" s="695">
        <v>1366.5143234825778</v>
      </c>
      <c r="BX13" s="681">
        <v>1127.792051503186</v>
      </c>
      <c r="BY13" s="681">
        <v>1339.6401658533641</v>
      </c>
      <c r="BZ13" s="681">
        <v>1104.3141827043835</v>
      </c>
      <c r="CA13" s="681">
        <v>1347.1662441177534</v>
      </c>
      <c r="CB13" s="681">
        <v>1861.8093775101672</v>
      </c>
      <c r="CC13" s="696">
        <f t="shared" si="0"/>
        <v>15720.599311454831</v>
      </c>
      <c r="CE13" s="697" t="s">
        <v>148</v>
      </c>
      <c r="CH13" s="2260"/>
      <c r="CI13" s="879"/>
      <c r="CK13" s="879"/>
    </row>
    <row r="14" spans="1:89" ht="17.25" x14ac:dyDescent="0.3">
      <c r="B14" s="142" t="s">
        <v>1157</v>
      </c>
      <c r="C14" s="704">
        <v>14.557450646000007</v>
      </c>
      <c r="D14" s="704">
        <v>19.297422279000003</v>
      </c>
      <c r="E14" s="704">
        <v>23.963986065000011</v>
      </c>
      <c r="F14" s="704">
        <v>25.656728721999993</v>
      </c>
      <c r="G14" s="704">
        <v>21.345929859999977</v>
      </c>
      <c r="H14" s="704">
        <v>21.708158824999988</v>
      </c>
      <c r="I14" s="704">
        <v>15.605152572000001</v>
      </c>
      <c r="J14" s="704">
        <v>14.255431952</v>
      </c>
      <c r="K14" s="704">
        <v>18.344518485999998</v>
      </c>
      <c r="L14" s="704">
        <v>20.318538323000006</v>
      </c>
      <c r="M14" s="1039">
        <v>22.002273545000001</v>
      </c>
      <c r="N14" s="2359">
        <v>18.400789378000002</v>
      </c>
      <c r="O14" s="705"/>
      <c r="P14" s="705" t="e">
        <f>+M14/#REF!*100</f>
        <v>#REF!</v>
      </c>
      <c r="Q14" s="683">
        <f t="shared" si="1"/>
        <v>10719.8</v>
      </c>
      <c r="R14" s="715"/>
      <c r="S14" s="716">
        <v>1</v>
      </c>
      <c r="T14" s="707" t="s">
        <v>1157</v>
      </c>
      <c r="U14" s="708" t="e">
        <f t="shared" si="5"/>
        <v>#REF!</v>
      </c>
      <c r="V14" s="708">
        <f t="shared" si="6"/>
        <v>22.002273545000001</v>
      </c>
      <c r="W14" s="708" t="e">
        <f>+#REF!</f>
        <v>#REF!</v>
      </c>
      <c r="X14" s="135">
        <f t="shared" si="7"/>
        <v>0.19939226324155057</v>
      </c>
      <c r="Y14" s="709"/>
      <c r="Z14" s="707" t="s">
        <v>1414</v>
      </c>
      <c r="AA14" s="709">
        <v>-0.96749866221328418</v>
      </c>
      <c r="AB14" s="709"/>
      <c r="AC14" s="709"/>
      <c r="AD14" s="709" t="s">
        <v>1157</v>
      </c>
      <c r="AE14" s="709">
        <v>10719.8</v>
      </c>
      <c r="AF14" s="709"/>
      <c r="AG14" s="709"/>
      <c r="AH14" s="709"/>
      <c r="AI14" s="717">
        <f>+AO5/AO4%-100</f>
        <v>6.0248994959269027</v>
      </c>
      <c r="AJ14" s="709"/>
      <c r="AK14" s="709"/>
      <c r="AL14" s="709"/>
      <c r="AM14" s="709"/>
      <c r="AN14" s="714" t="s">
        <v>1419</v>
      </c>
      <c r="AO14" s="93">
        <v>204.23336679746174</v>
      </c>
      <c r="AP14" s="93">
        <v>5.114917270177969</v>
      </c>
      <c r="AQ14" s="712"/>
      <c r="AR14" s="710" t="e">
        <f t="shared" si="2"/>
        <v>#REF!</v>
      </c>
      <c r="AT14" s="711" t="s">
        <v>1420</v>
      </c>
      <c r="AU14">
        <v>4921.97764799994</v>
      </c>
      <c r="AV14">
        <v>5507.0684759999931</v>
      </c>
      <c r="AW14">
        <v>5954.2834709999606</v>
      </c>
      <c r="AX14">
        <v>5868.2929409999615</v>
      </c>
      <c r="AY14">
        <v>6350.2088229999736</v>
      </c>
      <c r="AZ14">
        <v>6591.624000999981</v>
      </c>
      <c r="BA14">
        <v>8336.6194899999755</v>
      </c>
      <c r="BB14">
        <v>11721.053394377961</v>
      </c>
      <c r="BC14">
        <v>11364.879098398802</v>
      </c>
      <c r="BD14">
        <f t="shared" si="3"/>
        <v>12791.280918668364</v>
      </c>
      <c r="BE14">
        <v>12098.89883159186</v>
      </c>
      <c r="BF14" s="707" t="s">
        <v>1157</v>
      </c>
      <c r="BG14">
        <v>15605.152572000001</v>
      </c>
      <c r="BJ14" s="711" t="s">
        <v>1420</v>
      </c>
      <c r="BK14" t="e">
        <f t="shared" si="4"/>
        <v>#VALUE!</v>
      </c>
      <c r="BL14">
        <f t="shared" si="4"/>
        <v>15.605152572000001</v>
      </c>
      <c r="BP14" s="684" t="s">
        <v>1421</v>
      </c>
      <c r="BQ14" s="718">
        <f t="shared" ref="BQ14:CC14" si="8">+SUM(BQ2:BQ13)</f>
        <v>18454.941631301106</v>
      </c>
      <c r="BR14" s="718">
        <f t="shared" si="8"/>
        <v>18370.135467378954</v>
      </c>
      <c r="BS14" s="718">
        <f t="shared" si="8"/>
        <v>18525.319220559584</v>
      </c>
      <c r="BT14" s="718">
        <f t="shared" si="8"/>
        <v>17749.249383127182</v>
      </c>
      <c r="BU14" s="718">
        <f t="shared" si="8"/>
        <v>17437.556146440616</v>
      </c>
      <c r="BV14" s="718">
        <f t="shared" si="8"/>
        <v>16900.467098515957</v>
      </c>
      <c r="BW14" s="718">
        <f t="shared" si="8"/>
        <v>18578.759210998669</v>
      </c>
      <c r="BX14" s="718">
        <f t="shared" si="8"/>
        <v>19097.773793971923</v>
      </c>
      <c r="BY14" s="718">
        <f t="shared" si="8"/>
        <v>19537.549402565106</v>
      </c>
      <c r="BZ14" s="718">
        <f t="shared" si="8"/>
        <v>18655.976653649508</v>
      </c>
      <c r="CA14" s="718">
        <f t="shared" si="8"/>
        <v>18496.758557383862</v>
      </c>
      <c r="CB14" s="718">
        <f t="shared" si="8"/>
        <v>20495.320380198908</v>
      </c>
      <c r="CC14" s="681">
        <f t="shared" si="8"/>
        <v>222299.80694609135</v>
      </c>
      <c r="CH14" s="2260"/>
      <c r="CI14" s="879"/>
      <c r="CK14" s="879"/>
    </row>
    <row r="15" spans="1:89" ht="16.5" x14ac:dyDescent="0.25">
      <c r="B15" s="142" t="s">
        <v>1422</v>
      </c>
      <c r="C15" s="704">
        <v>5.8682929409999618</v>
      </c>
      <c r="D15" s="704">
        <v>6.3502088229999734</v>
      </c>
      <c r="E15" s="704">
        <v>6.5916240009999809</v>
      </c>
      <c r="F15" s="704">
        <v>8.3366194899999755</v>
      </c>
      <c r="G15" s="704">
        <v>11.721053394377961</v>
      </c>
      <c r="H15" s="704">
        <v>11.364879098398802</v>
      </c>
      <c r="I15" s="704">
        <v>12.791280918668365</v>
      </c>
      <c r="J15" s="704">
        <v>12.297165880603561</v>
      </c>
      <c r="K15" s="704">
        <v>15.813097115455934</v>
      </c>
      <c r="L15" s="704">
        <v>14.696073433371428</v>
      </c>
      <c r="M15" s="1039">
        <v>11.602414162202807</v>
      </c>
      <c r="N15" s="2359">
        <v>10.356682038389986</v>
      </c>
      <c r="O15" s="705"/>
      <c r="P15" s="705" t="e">
        <f>+M15/#REF!*100</f>
        <v>#REF!</v>
      </c>
      <c r="Q15" s="683">
        <f t="shared" si="1"/>
        <v>6589.05</v>
      </c>
      <c r="R15" s="715"/>
      <c r="S15" s="716">
        <v>2</v>
      </c>
      <c r="T15" s="707" t="s">
        <v>148</v>
      </c>
      <c r="U15" s="708" t="e">
        <f t="shared" si="5"/>
        <v>#REF!</v>
      </c>
      <c r="V15" s="708">
        <f t="shared" si="6"/>
        <v>11.602414162202807</v>
      </c>
      <c r="W15" s="708" t="e">
        <f>+#REF!</f>
        <v>#REF!</v>
      </c>
      <c r="X15" s="135">
        <f t="shared" si="7"/>
        <v>-0.26627819474640102</v>
      </c>
      <c r="Y15" s="709"/>
      <c r="Z15" s="709" t="s">
        <v>1059</v>
      </c>
      <c r="AA15" s="709">
        <v>-23.885467658238447</v>
      </c>
      <c r="AB15" s="709"/>
      <c r="AC15" s="709"/>
      <c r="AD15" s="709" t="s">
        <v>148</v>
      </c>
      <c r="AE15" s="709">
        <v>6589.05</v>
      </c>
      <c r="AF15" s="709"/>
      <c r="AG15" s="709"/>
      <c r="AH15" s="709"/>
      <c r="AI15" s="709"/>
      <c r="AJ15" s="709"/>
      <c r="AK15" s="709"/>
      <c r="AL15" s="709"/>
      <c r="AM15" s="709"/>
      <c r="AN15" s="719" t="s">
        <v>1423</v>
      </c>
      <c r="AO15" s="720">
        <v>94.998348733483496</v>
      </c>
      <c r="AP15" s="720">
        <v>10.554357361591002</v>
      </c>
      <c r="AQ15" s="712"/>
      <c r="AR15" s="710" t="e">
        <f t="shared" si="2"/>
        <v>#REF!</v>
      </c>
      <c r="AT15" s="707" t="s">
        <v>1157</v>
      </c>
      <c r="AU15">
        <v>6137.6997470000088</v>
      </c>
      <c r="AV15">
        <v>10134.902610999992</v>
      </c>
      <c r="AW15">
        <v>11755.77787800001</v>
      </c>
      <c r="AX15">
        <v>14557.450646000007</v>
      </c>
      <c r="AY15">
        <v>19297.422279000002</v>
      </c>
      <c r="AZ15">
        <v>23963.986065000012</v>
      </c>
      <c r="BA15">
        <v>25656.728721999993</v>
      </c>
      <c r="BB15">
        <v>21345.929859999978</v>
      </c>
      <c r="BC15">
        <v>21708.158824999988</v>
      </c>
      <c r="BD15">
        <f t="shared" si="3"/>
        <v>15605.152572000001</v>
      </c>
      <c r="BE15">
        <v>15771.667849000029</v>
      </c>
      <c r="BF15" t="s">
        <v>148</v>
      </c>
      <c r="BG15">
        <v>12791.280918668364</v>
      </c>
      <c r="BJ15" s="707" t="s">
        <v>1157</v>
      </c>
      <c r="BK15" t="e">
        <f t="shared" si="4"/>
        <v>#VALUE!</v>
      </c>
      <c r="BL15">
        <f t="shared" si="4"/>
        <v>12.791280918668365</v>
      </c>
      <c r="BP15" s="3362" t="s">
        <v>1424</v>
      </c>
      <c r="BQ15" s="3362"/>
      <c r="BR15" s="3362"/>
      <c r="BS15" s="3362"/>
      <c r="BT15" s="3362"/>
      <c r="BU15" s="3362"/>
      <c r="BV15" s="3362"/>
      <c r="BW15" s="3362"/>
      <c r="BX15" s="3362"/>
      <c r="BY15" s="3362"/>
      <c r="BZ15" s="3362"/>
      <c r="CA15" s="3362"/>
      <c r="CB15" s="3362"/>
      <c r="CC15" s="3362"/>
      <c r="CH15" s="2260"/>
      <c r="CI15" s="879"/>
      <c r="CK15" s="879"/>
    </row>
    <row r="16" spans="1:89" ht="30.75" customHeight="1" x14ac:dyDescent="0.25">
      <c r="B16" s="721" t="s">
        <v>1029</v>
      </c>
      <c r="C16" s="722">
        <v>165.52011813299228</v>
      </c>
      <c r="D16" s="722">
        <v>184.67390277700176</v>
      </c>
      <c r="E16" s="722">
        <v>194.59726743199673</v>
      </c>
      <c r="F16" s="722">
        <v>206.16616683998814</v>
      </c>
      <c r="G16" s="722">
        <v>213.21625920886623</v>
      </c>
      <c r="H16" s="722">
        <v>214.12662644980693</v>
      </c>
      <c r="I16" s="722">
        <v>194.29532182621546</v>
      </c>
      <c r="J16" s="723">
        <v>201.69665773166869</v>
      </c>
      <c r="K16" s="723">
        <v>223.00825949358247</v>
      </c>
      <c r="L16" s="723">
        <v>234.25870406625387</v>
      </c>
      <c r="M16" s="2047">
        <v>239.221476761611</v>
      </c>
      <c r="N16" s="2360">
        <v>241.60977693896001</v>
      </c>
      <c r="O16" s="724"/>
      <c r="P16" s="724"/>
      <c r="S16" s="706"/>
      <c r="T16" s="725" t="s">
        <v>1029</v>
      </c>
      <c r="U16" s="708" t="e">
        <f>(((V16/W16)^(1/10))-1)*100</f>
        <v>#REF!</v>
      </c>
      <c r="V16" s="726">
        <f>SUM(V4:V15)</f>
        <v>239.16577794216749</v>
      </c>
      <c r="W16" s="726" t="e">
        <f>SUM(W4:W15)</f>
        <v>#REF!</v>
      </c>
      <c r="X16" s="727"/>
      <c r="Y16" s="727"/>
      <c r="Z16" s="727"/>
      <c r="AA16" s="727"/>
      <c r="AB16" s="727"/>
      <c r="AC16" s="727"/>
      <c r="AD16" s="727"/>
      <c r="AE16" s="727">
        <f>SUM(AE4:AE15)</f>
        <v>117728.60000000002</v>
      </c>
      <c r="AF16" s="727"/>
      <c r="AG16" s="727"/>
      <c r="AH16" s="727"/>
      <c r="AI16" s="727"/>
      <c r="AJ16" s="727"/>
      <c r="AK16" s="727"/>
      <c r="AL16" s="727"/>
      <c r="AM16" s="727"/>
      <c r="AN16" s="719" t="s">
        <v>1425</v>
      </c>
      <c r="AO16" s="720">
        <v>107.72994814076841</v>
      </c>
      <c r="AP16" s="720">
        <v>13.401916535416049</v>
      </c>
      <c r="AR16" s="710" t="e">
        <f t="shared" si="2"/>
        <v>#REF!</v>
      </c>
      <c r="BP16" s="728" t="s">
        <v>1426</v>
      </c>
      <c r="BQ16" s="728" t="s">
        <v>1378</v>
      </c>
      <c r="BR16" s="728" t="s">
        <v>1379</v>
      </c>
      <c r="BS16" s="728" t="s">
        <v>1380</v>
      </c>
      <c r="BT16" s="728" t="s">
        <v>1381</v>
      </c>
      <c r="BU16" s="728" t="s">
        <v>1382</v>
      </c>
      <c r="BV16" s="728" t="s">
        <v>1383</v>
      </c>
      <c r="BW16" s="728" t="s">
        <v>1384</v>
      </c>
      <c r="BX16" s="728" t="s">
        <v>1385</v>
      </c>
      <c r="BY16" s="728" t="s">
        <v>1386</v>
      </c>
      <c r="BZ16" s="728" t="s">
        <v>1387</v>
      </c>
      <c r="CA16" s="728" t="s">
        <v>1388</v>
      </c>
      <c r="CB16" s="728" t="s">
        <v>1389</v>
      </c>
      <c r="CC16" s="728" t="s">
        <v>237</v>
      </c>
      <c r="CD16" s="729" t="s">
        <v>1427</v>
      </c>
      <c r="CH16" s="2260"/>
      <c r="CI16" s="879"/>
      <c r="CK16" s="879"/>
    </row>
    <row r="17" spans="2:87" ht="27.75" customHeight="1" x14ac:dyDescent="0.25">
      <c r="B17" s="721" t="s">
        <v>1400</v>
      </c>
      <c r="C17" s="722">
        <v>4.5</v>
      </c>
      <c r="D17" s="722">
        <v>11.571877098722084</v>
      </c>
      <c r="E17" s="722">
        <v>5.3734526133763865</v>
      </c>
      <c r="F17" s="722">
        <v>5.945047204752882</v>
      </c>
      <c r="G17" s="722">
        <v>3.4196165534522009</v>
      </c>
      <c r="H17" s="722">
        <v>0.4269689583330063</v>
      </c>
      <c r="I17" s="722">
        <v>-9.2614846422381447</v>
      </c>
      <c r="J17" s="722">
        <v>3.8093227546020216</v>
      </c>
      <c r="K17" s="722">
        <v>10.566165052802262</v>
      </c>
      <c r="L17" s="722">
        <v>5.0448555574665477</v>
      </c>
      <c r="M17" s="1040">
        <v>2.1185008749786078</v>
      </c>
      <c r="N17" s="2360">
        <v>0.99836361253169403</v>
      </c>
      <c r="O17" s="724"/>
      <c r="P17" s="724"/>
      <c r="U17" s="709"/>
      <c r="AN17" s="730"/>
      <c r="AO17" s="708"/>
      <c r="AP17" s="726"/>
      <c r="BP17" s="731" t="s">
        <v>112</v>
      </c>
      <c r="BQ17" s="694">
        <v>2102.1510505400001</v>
      </c>
      <c r="BR17" s="694">
        <v>2156.2708963740056</v>
      </c>
      <c r="BS17" s="693">
        <v>2251.4841750680057</v>
      </c>
      <c r="BT17" s="693">
        <v>2356.7841489570019</v>
      </c>
      <c r="BU17" s="693">
        <v>2316.699302991</v>
      </c>
      <c r="BV17" s="694">
        <v>2355.7799705460038</v>
      </c>
      <c r="BW17" s="694">
        <v>2481.0167451700045</v>
      </c>
      <c r="BX17" s="694">
        <v>2335.9741648670006</v>
      </c>
      <c r="BY17" s="694">
        <v>2469.3281512259991</v>
      </c>
      <c r="BZ17" s="694">
        <v>2562.1949268659992</v>
      </c>
      <c r="CA17" s="694">
        <v>2393.473369087003</v>
      </c>
      <c r="CB17" s="694">
        <v>2472.3313051009977</v>
      </c>
      <c r="CC17" s="732">
        <f t="shared" ref="CC17:CC28" si="9">+SUM(BQ17:CB17)</f>
        <v>28253.488206793023</v>
      </c>
      <c r="CD17" s="695">
        <f t="shared" ref="CD17:CD29" si="10">+SUM(BQ17:BV17)</f>
        <v>13539.169544476017</v>
      </c>
      <c r="CE17" s="733"/>
    </row>
    <row r="18" spans="2:87" ht="18.75" customHeight="1" x14ac:dyDescent="0.25">
      <c r="B18" s="3363" t="s">
        <v>2469</v>
      </c>
      <c r="C18" s="3364"/>
      <c r="D18" s="3364"/>
      <c r="E18" s="3364"/>
      <c r="F18" s="3364"/>
      <c r="G18" s="3364"/>
      <c r="H18" s="3364"/>
      <c r="I18" s="3364"/>
      <c r="J18" s="3364"/>
      <c r="K18" s="3364"/>
      <c r="L18" s="3364"/>
      <c r="M18" s="3364"/>
      <c r="N18" s="3365"/>
      <c r="O18" s="734"/>
      <c r="P18" s="735"/>
      <c r="S18" s="683">
        <f>700/12</f>
        <v>58.333333333333336</v>
      </c>
      <c r="U18" s="736">
        <v>1.4936562577362229</v>
      </c>
      <c r="AA18" s="681">
        <v>222.29980694609134</v>
      </c>
      <c r="AN18" s="737"/>
      <c r="BP18" s="731" t="s">
        <v>1046</v>
      </c>
      <c r="BQ18" s="694">
        <v>1163.6348199999998</v>
      </c>
      <c r="BR18" s="694">
        <v>1171.0291029800001</v>
      </c>
      <c r="BS18" s="693">
        <v>1087.6747690000002</v>
      </c>
      <c r="BT18" s="693">
        <v>1115.8501330199999</v>
      </c>
      <c r="BU18" s="693">
        <v>919.80892499000015</v>
      </c>
      <c r="BV18" s="693">
        <v>1016.124454</v>
      </c>
      <c r="BW18" s="738">
        <v>1179.9038709899999</v>
      </c>
      <c r="BX18" s="738">
        <v>1065.6388660099999</v>
      </c>
      <c r="BY18" s="738">
        <v>1098.6434140000001</v>
      </c>
      <c r="BZ18" s="738">
        <v>1195.73721299</v>
      </c>
      <c r="CA18" s="694">
        <v>1099.9673010000001</v>
      </c>
      <c r="CB18" s="738">
        <v>1131.5780549999999</v>
      </c>
      <c r="CC18" s="732">
        <f t="shared" si="9"/>
        <v>13245.59092398</v>
      </c>
      <c r="CD18" s="695">
        <f t="shared" si="10"/>
        <v>6474.1222039900003</v>
      </c>
      <c r="CE18" s="733"/>
      <c r="CI18" s="879"/>
    </row>
    <row r="19" spans="2:87" ht="42.75" customHeight="1" x14ac:dyDescent="0.25">
      <c r="B19" s="3366" t="s">
        <v>2470</v>
      </c>
      <c r="C19" s="3367"/>
      <c r="D19" s="3367"/>
      <c r="E19" s="3367"/>
      <c r="F19" s="3367"/>
      <c r="G19" s="3367"/>
      <c r="H19" s="3367"/>
      <c r="I19" s="3367"/>
      <c r="J19" s="3367"/>
      <c r="K19" s="3367"/>
      <c r="L19" s="3367"/>
      <c r="M19" s="3367"/>
      <c r="N19" s="3368"/>
      <c r="O19" s="740"/>
      <c r="P19" s="739"/>
      <c r="T19" s="709"/>
      <c r="AN19" s="737"/>
      <c r="AT19" s="707" t="s">
        <v>112</v>
      </c>
      <c r="AU19" s="681">
        <f t="shared" ref="AU19:AU30" si="11">+VLOOKUP(AT19,$AT$4:$BE$15,2,FALSE)</f>
        <v>15349.658957000021</v>
      </c>
      <c r="AV19" s="681">
        <f t="shared" ref="AV19:AV30" si="12">+VLOOKUP(AT19,$AT$4:$BE$15,3,FALSE)</f>
        <v>15600.640683999594</v>
      </c>
      <c r="AW19" s="681">
        <f t="shared" ref="AW19:AW30" si="13">+VLOOKUP(AT19,$AT$4:$BE$15,4,FALSE)</f>
        <v>16293.648825999921</v>
      </c>
      <c r="AX19" s="681">
        <f t="shared" ref="AX19:AX30" si="14">+VLOOKUP(AT19,$AT$4:$BE$15,5,FALSE)</f>
        <v>18000.102374999984</v>
      </c>
      <c r="AY19" s="681">
        <f t="shared" ref="AY19:AY30" si="15">+VLOOKUP(AT19,$AT$4:$BE$15,6,FALSE)</f>
        <v>19623.222261999977</v>
      </c>
      <c r="AZ19" s="681">
        <f t="shared" ref="AZ19:AZ30" si="16">+VLOOKUP(AT19,$AT$4:$BE$15,7,FALSE)</f>
        <v>21608.21023799992</v>
      </c>
      <c r="BA19" s="681">
        <f t="shared" ref="BA19:BA30" si="17">+VLOOKUP(AT19,$AT$4:$BE$15,8,FALSE)</f>
        <v>23341.821038999697</v>
      </c>
      <c r="BB19" s="681">
        <f t="shared" ref="BB19:BB30" si="18">+VLOOKUP(AT19,$AT$4:$BE$15,9,FALSE)</f>
        <v>24906.789338279406</v>
      </c>
      <c r="BC19" s="681">
        <f t="shared" ref="BC19:BC30" si="19">+VLOOKUP(AT19,$AT$4:$BE$15,10,FALSE)</f>
        <v>26329.779999006474</v>
      </c>
      <c r="BD19" s="681">
        <f t="shared" ref="BD19:BD30" si="20">+VLOOKUP(AT19,$AT$4:$BE$15,11,FALSE)</f>
        <v>27558.426378406992</v>
      </c>
      <c r="BE19" s="681">
        <f t="shared" ref="BE19:BE30" si="21">+VLOOKUP(AT19,$AT$4:$BE$15,12,FALSE)</f>
        <v>28329.712289991377</v>
      </c>
      <c r="BG19" s="709">
        <f t="shared" ref="BG19:BH30" si="22">+BD19/1000</f>
        <v>27.558426378406992</v>
      </c>
      <c r="BH19" s="709">
        <f t="shared" si="22"/>
        <v>28.329712289991377</v>
      </c>
      <c r="BP19" s="731" t="s">
        <v>1045</v>
      </c>
      <c r="BQ19" s="694">
        <v>2385.95834647129</v>
      </c>
      <c r="BR19" s="694">
        <v>1990.9852550158189</v>
      </c>
      <c r="BS19" s="693">
        <v>2409.1789006233075</v>
      </c>
      <c r="BT19" s="693">
        <v>2630.3473222353341</v>
      </c>
      <c r="BU19" s="693">
        <v>2692.0557888167555</v>
      </c>
      <c r="BV19" s="693">
        <v>2597.9367997961463</v>
      </c>
      <c r="BW19" s="693">
        <v>2750.4834495007908</v>
      </c>
      <c r="BX19" s="694">
        <v>2645.2372752477031</v>
      </c>
      <c r="BY19" s="694">
        <v>2815.8516205624192</v>
      </c>
      <c r="BZ19" s="694">
        <v>2472.9843967088045</v>
      </c>
      <c r="CA19" s="694">
        <v>2549.7957092217134</v>
      </c>
      <c r="CB19" s="694">
        <v>2908.1422089472303</v>
      </c>
      <c r="CC19" s="732">
        <f t="shared" si="9"/>
        <v>30848.95707314731</v>
      </c>
      <c r="CD19" s="695">
        <f t="shared" si="10"/>
        <v>14706.462412958652</v>
      </c>
      <c r="CE19" s="733"/>
    </row>
    <row r="20" spans="2:87" ht="18.75" x14ac:dyDescent="0.25">
      <c r="B20" s="741"/>
      <c r="C20" s="742"/>
      <c r="D20" s="742"/>
      <c r="E20" s="742"/>
      <c r="F20" s="742"/>
      <c r="G20" s="742"/>
      <c r="H20" s="742"/>
      <c r="I20" s="742"/>
      <c r="J20" s="742"/>
      <c r="K20" s="742"/>
      <c r="L20" s="742"/>
      <c r="M20" s="742"/>
      <c r="N20" s="743"/>
      <c r="O20" s="744"/>
      <c r="P20" s="742"/>
      <c r="T20" s="709"/>
      <c r="U20" s="681">
        <v>85929.085927180276</v>
      </c>
      <c r="V20" s="681">
        <f>+U20/1000</f>
        <v>85.929085927180282</v>
      </c>
      <c r="W20" s="681" t="e">
        <f>+#REF!/V20%-100</f>
        <v>#REF!</v>
      </c>
      <c r="AN20" s="737"/>
      <c r="AT20" s="707" t="s">
        <v>1045</v>
      </c>
      <c r="AU20" s="681">
        <f t="shared" si="11"/>
        <v>14992.410169999541</v>
      </c>
      <c r="AV20" s="681">
        <f t="shared" si="12"/>
        <v>15743.901039998997</v>
      </c>
      <c r="AW20" s="681">
        <f t="shared" si="13"/>
        <v>17128.2559099992</v>
      </c>
      <c r="AX20" s="681">
        <f t="shared" si="14"/>
        <v>19075.402439999474</v>
      </c>
      <c r="AY20" s="681">
        <f t="shared" si="15"/>
        <v>21846.6308999996</v>
      </c>
      <c r="AZ20" s="681">
        <f t="shared" si="16"/>
        <v>23764.934029999491</v>
      </c>
      <c r="BA20" s="681">
        <f t="shared" si="17"/>
        <v>26174.47835999947</v>
      </c>
      <c r="BB20" s="681">
        <f t="shared" si="18"/>
        <v>28284.413977447435</v>
      </c>
      <c r="BC20" s="681">
        <f t="shared" si="19"/>
        <v>29975.488406249358</v>
      </c>
      <c r="BD20" s="681">
        <f t="shared" si="20"/>
        <v>27968.993710450231</v>
      </c>
      <c r="BE20" s="681">
        <f t="shared" si="21"/>
        <v>30848.868653478581</v>
      </c>
      <c r="BG20" s="709">
        <f t="shared" si="22"/>
        <v>27.968993710450231</v>
      </c>
      <c r="BH20" s="709">
        <f t="shared" si="22"/>
        <v>30.848868653478583</v>
      </c>
      <c r="BP20" s="731" t="s">
        <v>1049</v>
      </c>
      <c r="BQ20" s="694">
        <v>411.75513827940324</v>
      </c>
      <c r="BR20" s="694">
        <v>267.6687866863856</v>
      </c>
      <c r="BS20" s="693">
        <v>257.07908988170163</v>
      </c>
      <c r="BT20" s="693">
        <v>315.33119791845604</v>
      </c>
      <c r="BU20" s="693">
        <v>379.30596660282532</v>
      </c>
      <c r="BV20" s="693">
        <v>409.06266273658798</v>
      </c>
      <c r="BW20" s="693">
        <v>478.8173400442451</v>
      </c>
      <c r="BX20" s="694">
        <v>503.85898421459478</v>
      </c>
      <c r="BY20" s="694">
        <v>552.03517446456419</v>
      </c>
      <c r="BZ20" s="694">
        <v>455.51965185997625</v>
      </c>
      <c r="CA20" s="694">
        <v>434.89157720201467</v>
      </c>
      <c r="CB20" s="694">
        <v>542.63693598750535</v>
      </c>
      <c r="CC20" s="732">
        <f t="shared" si="9"/>
        <v>5007.9625058782603</v>
      </c>
      <c r="CD20" s="695">
        <f t="shared" si="10"/>
        <v>2040.2028421053599</v>
      </c>
      <c r="CE20" s="733"/>
    </row>
    <row r="21" spans="2:87" ht="18.75" x14ac:dyDescent="0.25">
      <c r="B21" s="3369"/>
      <c r="C21" s="3370"/>
      <c r="D21" s="3370"/>
      <c r="E21" s="3370"/>
      <c r="F21" s="3370"/>
      <c r="G21" s="3370"/>
      <c r="H21" s="3370"/>
      <c r="I21" s="3370"/>
      <c r="J21" s="3370"/>
      <c r="K21" s="3370"/>
      <c r="L21" s="745"/>
      <c r="M21" s="745"/>
      <c r="N21" s="746"/>
      <c r="O21" s="747"/>
      <c r="P21" s="745"/>
      <c r="V21" s="681" t="e">
        <f>+#REF!/#REF!%-100</f>
        <v>#REF!</v>
      </c>
      <c r="Z21" s="681" t="e">
        <f>+#REF!/#REF!%-100</f>
        <v>#REF!</v>
      </c>
      <c r="AN21" s="737"/>
      <c r="AT21" s="707" t="s">
        <v>1046</v>
      </c>
      <c r="AU21" s="681">
        <f t="shared" si="11"/>
        <v>11221.512170000005</v>
      </c>
      <c r="AV21" s="681">
        <f t="shared" si="12"/>
        <v>12289.368529999996</v>
      </c>
      <c r="AW21" s="681">
        <f t="shared" si="13"/>
        <v>11305.202649999996</v>
      </c>
      <c r="AX21" s="681">
        <f t="shared" si="14"/>
        <v>11082.028710000001</v>
      </c>
      <c r="AY21" s="681">
        <f t="shared" si="15"/>
        <v>13270.841390000001</v>
      </c>
      <c r="AZ21" s="681">
        <f t="shared" si="16"/>
        <v>13240.780590000004</v>
      </c>
      <c r="BA21" s="681">
        <f t="shared" si="17"/>
        <v>12888.606990000007</v>
      </c>
      <c r="BB21" s="681">
        <f t="shared" si="18"/>
        <v>14131.231643521081</v>
      </c>
      <c r="BC21" s="681">
        <f t="shared" si="19"/>
        <v>14267.778782545445</v>
      </c>
      <c r="BD21" s="681">
        <f t="shared" si="20"/>
        <v>14100.355452353548</v>
      </c>
      <c r="BE21" s="681">
        <f t="shared" si="21"/>
        <v>14276.578191979996</v>
      </c>
      <c r="BG21" s="709">
        <f t="shared" si="22"/>
        <v>14.100355452353547</v>
      </c>
      <c r="BH21" s="709">
        <f t="shared" si="22"/>
        <v>14.276578191979995</v>
      </c>
      <c r="BP21" s="731" t="s">
        <v>1059</v>
      </c>
      <c r="BQ21" s="694">
        <v>105.33285038910506</v>
      </c>
      <c r="BR21" s="694">
        <v>136.39217416342413</v>
      </c>
      <c r="BS21" s="693">
        <v>136.14937161089489</v>
      </c>
      <c r="BT21" s="693">
        <v>130.26368352529175</v>
      </c>
      <c r="BU21" s="693">
        <v>128.73721508949421</v>
      </c>
      <c r="BV21" s="693">
        <v>131.7089811206227</v>
      </c>
      <c r="BW21" s="693">
        <v>124.50849458365748</v>
      </c>
      <c r="BX21" s="694">
        <v>123.38763059922181</v>
      </c>
      <c r="BY21" s="694">
        <v>119.46544528404662</v>
      </c>
      <c r="BZ21" s="694">
        <v>126.17059058210108</v>
      </c>
      <c r="CA21" s="694">
        <v>117.07215166536962</v>
      </c>
      <c r="CB21" s="694">
        <v>114.18266612295716</v>
      </c>
      <c r="CC21" s="732">
        <f t="shared" si="9"/>
        <v>1493.3712547361865</v>
      </c>
      <c r="CD21" s="695">
        <f t="shared" si="10"/>
        <v>768.58427589883263</v>
      </c>
      <c r="CE21" s="733"/>
    </row>
    <row r="22" spans="2:87" ht="18.75" x14ac:dyDescent="0.25">
      <c r="B22" s="3369"/>
      <c r="C22" s="3370"/>
      <c r="D22" s="3370"/>
      <c r="E22" s="3370"/>
      <c r="F22" s="3370"/>
      <c r="G22" s="3370"/>
      <c r="H22" s="3370"/>
      <c r="I22" s="3370"/>
      <c r="J22" s="3370"/>
      <c r="K22" s="3370"/>
      <c r="L22" s="745"/>
      <c r="M22" s="745"/>
      <c r="N22" s="746"/>
      <c r="O22" s="747"/>
      <c r="P22" s="745"/>
      <c r="W22" s="748"/>
      <c r="X22" s="748"/>
      <c r="Y22" s="748"/>
      <c r="Z22" s="748"/>
      <c r="AA22" s="748"/>
      <c r="AB22" s="748"/>
      <c r="AC22" s="748"/>
      <c r="AD22" s="748" t="s">
        <v>71</v>
      </c>
      <c r="AE22" s="748"/>
      <c r="AF22" s="748"/>
      <c r="AG22" s="748"/>
      <c r="AH22" s="748"/>
      <c r="AI22" s="748"/>
      <c r="AJ22" s="748"/>
      <c r="AK22" s="748"/>
      <c r="AL22" s="748"/>
      <c r="AM22" s="748"/>
      <c r="AN22" s="737"/>
      <c r="AT22" s="707" t="s">
        <v>1049</v>
      </c>
      <c r="AU22" s="681">
        <f t="shared" si="11"/>
        <v>5537.9870300000002</v>
      </c>
      <c r="AV22" s="681">
        <f t="shared" si="12"/>
        <v>5272.4551500000016</v>
      </c>
      <c r="AW22" s="681">
        <f t="shared" si="13"/>
        <v>5506.7392100000006</v>
      </c>
      <c r="AX22" s="681">
        <f t="shared" si="14"/>
        <v>5724.9376500000035</v>
      </c>
      <c r="AY22" s="681">
        <f t="shared" si="15"/>
        <v>6263.6860900000047</v>
      </c>
      <c r="AZ22" s="681">
        <f t="shared" si="16"/>
        <v>6999.365429999988</v>
      </c>
      <c r="BA22" s="681">
        <f t="shared" si="17"/>
        <v>7634.8632700000035</v>
      </c>
      <c r="BB22" s="681">
        <f t="shared" si="18"/>
        <v>8302.0577689257061</v>
      </c>
      <c r="BC22" s="681">
        <f t="shared" si="19"/>
        <v>7998.6090355175374</v>
      </c>
      <c r="BD22" s="681">
        <f t="shared" si="20"/>
        <v>3697.7549794394881</v>
      </c>
      <c r="BE22" s="681">
        <f t="shared" si="21"/>
        <v>5008.0332718782665</v>
      </c>
      <c r="BG22" s="709">
        <f t="shared" si="22"/>
        <v>3.6977549794394879</v>
      </c>
      <c r="BH22" s="709">
        <f t="shared" si="22"/>
        <v>5.0080332718782667</v>
      </c>
      <c r="BP22" s="731" t="s">
        <v>1050</v>
      </c>
      <c r="BQ22" s="694">
        <v>6675.6317291288997</v>
      </c>
      <c r="BR22" s="694">
        <v>5532.1885630980905</v>
      </c>
      <c r="BS22" s="693">
        <v>6195.2726638834592</v>
      </c>
      <c r="BT22" s="693">
        <v>6134.2231789574671</v>
      </c>
      <c r="BU22" s="693">
        <v>5602.9542558975045</v>
      </c>
      <c r="BV22" s="693">
        <v>5512.9558021848597</v>
      </c>
      <c r="BW22" s="693">
        <v>6616.313153536752</v>
      </c>
      <c r="BX22" s="694">
        <v>6505.8518808450481</v>
      </c>
      <c r="BY22" s="694">
        <v>7302.3309942209753</v>
      </c>
      <c r="BZ22" s="694">
        <v>6365.6348810140034</v>
      </c>
      <c r="CA22" s="694">
        <v>6510.9219195221249</v>
      </c>
      <c r="CB22" s="694">
        <v>7704.4394200446832</v>
      </c>
      <c r="CC22" s="732">
        <f t="shared" si="9"/>
        <v>76658.718442333862</v>
      </c>
      <c r="CD22" s="695">
        <f t="shared" si="10"/>
        <v>35653.22619315028</v>
      </c>
      <c r="CE22" s="733"/>
    </row>
    <row r="23" spans="2:87" ht="18.75" x14ac:dyDescent="0.25">
      <c r="B23" s="3369"/>
      <c r="C23" s="3370"/>
      <c r="D23" s="3370"/>
      <c r="E23" s="3370"/>
      <c r="F23" s="3370"/>
      <c r="G23" s="3370"/>
      <c r="H23" s="3370"/>
      <c r="I23" s="3370"/>
      <c r="J23" s="3370"/>
      <c r="K23" s="3370"/>
      <c r="L23" s="745"/>
      <c r="M23" s="745"/>
      <c r="N23" s="746"/>
      <c r="O23" s="747"/>
      <c r="P23" s="745"/>
      <c r="Q23" s="715"/>
      <c r="R23" s="715"/>
      <c r="S23" s="715"/>
      <c r="T23" s="715"/>
      <c r="U23" s="712">
        <f>+J16/I16%-100</f>
        <v>3.8093227546020216</v>
      </c>
      <c r="W23" s="748"/>
      <c r="X23" s="748"/>
      <c r="Y23" s="748"/>
      <c r="Z23" s="748"/>
      <c r="AA23" s="748"/>
      <c r="AB23" s="748"/>
      <c r="AC23" s="748"/>
      <c r="AD23" s="748"/>
      <c r="AE23" s="748"/>
      <c r="AF23" s="748"/>
      <c r="AG23" s="748"/>
      <c r="AH23" s="748"/>
      <c r="AI23" s="748"/>
      <c r="AJ23" s="748"/>
      <c r="AK23" s="748"/>
      <c r="AL23" s="748"/>
      <c r="AM23" s="748"/>
      <c r="AN23" s="737"/>
      <c r="AO23" s="683" t="s">
        <v>1157</v>
      </c>
      <c r="AP23" s="709">
        <v>9.8973440007124491</v>
      </c>
      <c r="AT23" s="707" t="s">
        <v>1059</v>
      </c>
      <c r="AU23" s="681">
        <f t="shared" si="11"/>
        <v>8228.5972700000002</v>
      </c>
      <c r="AV23" s="681">
        <f t="shared" si="12"/>
        <v>7501.5033499998599</v>
      </c>
      <c r="AW23" s="681">
        <f t="shared" si="13"/>
        <v>7164.7700399999503</v>
      </c>
      <c r="AX23" s="681">
        <f t="shared" si="14"/>
        <v>7086.7181899998923</v>
      </c>
      <c r="AY23" s="681">
        <f t="shared" si="15"/>
        <v>6826.3065899999674</v>
      </c>
      <c r="AZ23" s="681">
        <f t="shared" si="16"/>
        <v>5396.8133900000194</v>
      </c>
      <c r="BA23" s="681">
        <f t="shared" si="17"/>
        <v>3845.1181100000049</v>
      </c>
      <c r="BB23" s="681">
        <f t="shared" si="18"/>
        <v>3459.4582651112664</v>
      </c>
      <c r="BC23" s="681">
        <f t="shared" si="19"/>
        <v>2396.8245022973788</v>
      </c>
      <c r="BD23" s="681">
        <f t="shared" si="20"/>
        <v>1797.8712490700391</v>
      </c>
      <c r="BE23" s="681">
        <f t="shared" si="21"/>
        <v>1493.6562577362229</v>
      </c>
      <c r="BG23" s="709">
        <f t="shared" si="22"/>
        <v>1.797871249070039</v>
      </c>
      <c r="BH23" s="709">
        <f t="shared" si="22"/>
        <v>1.4936562577362229</v>
      </c>
      <c r="BP23" s="731" t="s">
        <v>1051</v>
      </c>
      <c r="BQ23" s="694">
        <v>96.055656634812323</v>
      </c>
      <c r="BR23" s="694">
        <v>76.831271793515384</v>
      </c>
      <c r="BS23" s="693">
        <v>94.205889546075156</v>
      </c>
      <c r="BT23" s="693">
        <v>76.990902515358414</v>
      </c>
      <c r="BU23" s="693">
        <v>82.261481915529075</v>
      </c>
      <c r="BV23" s="693">
        <v>85.374461836177559</v>
      </c>
      <c r="BW23" s="693">
        <v>89.557261034129738</v>
      </c>
      <c r="BX23" s="694">
        <v>64.983560634812292</v>
      </c>
      <c r="BY23" s="694">
        <v>92.559942308873786</v>
      </c>
      <c r="BZ23" s="694">
        <v>91.520017068259421</v>
      </c>
      <c r="CA23" s="694">
        <v>84.976916892491602</v>
      </c>
      <c r="CB23" s="694">
        <v>82.178978781569995</v>
      </c>
      <c r="CC23" s="732">
        <f t="shared" si="9"/>
        <v>1017.4963409616049</v>
      </c>
      <c r="CD23" s="695">
        <f t="shared" si="10"/>
        <v>511.71966424146791</v>
      </c>
      <c r="CE23" s="733"/>
    </row>
    <row r="24" spans="2:87" ht="18.75" customHeight="1" x14ac:dyDescent="0.25">
      <c r="B24" s="3369"/>
      <c r="C24" s="3370"/>
      <c r="D24" s="3370"/>
      <c r="E24" s="3370"/>
      <c r="F24" s="3370"/>
      <c r="G24" s="3370"/>
      <c r="H24" s="3370"/>
      <c r="I24" s="3370"/>
      <c r="J24" s="3370"/>
      <c r="K24" s="3370"/>
      <c r="L24" s="745"/>
      <c r="M24" s="745"/>
      <c r="N24" s="749"/>
      <c r="O24" s="750"/>
      <c r="P24" s="750"/>
      <c r="Q24" s="750"/>
      <c r="R24" s="715"/>
      <c r="S24" s="715"/>
      <c r="T24" s="715"/>
      <c r="W24" s="748"/>
      <c r="X24" s="748"/>
      <c r="Y24" s="748"/>
      <c r="Z24" s="748" t="e">
        <f>+#REF!/#REF!%-100</f>
        <v>#REF!</v>
      </c>
      <c r="AA24" s="748">
        <f>+AQ17</f>
        <v>0</v>
      </c>
      <c r="AB24" s="748"/>
      <c r="AC24" s="748"/>
      <c r="AD24" s="748"/>
      <c r="AE24" s="748"/>
      <c r="AF24" s="748"/>
      <c r="AG24" s="748"/>
      <c r="AH24" s="748"/>
      <c r="AI24" s="748"/>
      <c r="AJ24" s="748"/>
      <c r="AK24" s="748"/>
      <c r="AL24" s="748"/>
      <c r="AM24" s="748"/>
      <c r="AN24" s="737"/>
      <c r="AO24" s="683" t="s">
        <v>1051</v>
      </c>
      <c r="AP24" s="709">
        <v>9.4148309378359496</v>
      </c>
      <c r="AT24" s="707" t="s">
        <v>1050</v>
      </c>
      <c r="AU24" s="681">
        <f t="shared" si="11"/>
        <v>64749.976630006568</v>
      </c>
      <c r="AV24" s="681">
        <f t="shared" si="12"/>
        <v>69080.048929988552</v>
      </c>
      <c r="AW24" s="681">
        <f t="shared" si="13"/>
        <v>68363.923709999086</v>
      </c>
      <c r="AX24" s="681">
        <f t="shared" si="14"/>
        <v>69416.220119993057</v>
      </c>
      <c r="AY24" s="681">
        <f t="shared" si="15"/>
        <v>74647.07201000223</v>
      </c>
      <c r="AZ24" s="681">
        <f t="shared" si="16"/>
        <v>76026.571259997334</v>
      </c>
      <c r="BA24" s="681">
        <f t="shared" si="17"/>
        <v>81073.436459989083</v>
      </c>
      <c r="BB24" s="681">
        <f t="shared" si="18"/>
        <v>83528.148922574866</v>
      </c>
      <c r="BC24" s="681">
        <f t="shared" si="19"/>
        <v>82602.012505469669</v>
      </c>
      <c r="BD24" s="681">
        <f t="shared" si="20"/>
        <v>72712.727140729839</v>
      </c>
      <c r="BE24" s="681">
        <f t="shared" si="21"/>
        <v>76686.935477072548</v>
      </c>
      <c r="BG24" s="709">
        <f t="shared" si="22"/>
        <v>72.712727140729839</v>
      </c>
      <c r="BH24" s="709">
        <f t="shared" si="22"/>
        <v>76.686935477072552</v>
      </c>
      <c r="BP24" s="731" t="s">
        <v>1415</v>
      </c>
      <c r="BQ24" s="694">
        <v>355.45851020774757</v>
      </c>
      <c r="BR24" s="694">
        <v>318.2560154396416</v>
      </c>
      <c r="BS24" s="693">
        <v>316.37700988850202</v>
      </c>
      <c r="BT24" s="693">
        <v>319.13666872097963</v>
      </c>
      <c r="BU24" s="693">
        <v>364.46851496882817</v>
      </c>
      <c r="BV24" s="693">
        <v>377.04429562925441</v>
      </c>
      <c r="BW24" s="693">
        <v>458.18859819844965</v>
      </c>
      <c r="BX24" s="694">
        <v>353.5698997205364</v>
      </c>
      <c r="BY24" s="694">
        <v>449.85594532542291</v>
      </c>
      <c r="BZ24" s="694">
        <v>309.91218891734434</v>
      </c>
      <c r="CA24" s="694">
        <v>379.9644002819756</v>
      </c>
      <c r="CB24" s="694">
        <v>538.10976366243108</v>
      </c>
      <c r="CC24" s="732">
        <f t="shared" si="9"/>
        <v>4540.341810961113</v>
      </c>
      <c r="CD24" s="695">
        <f t="shared" si="10"/>
        <v>2050.7410148549534</v>
      </c>
      <c r="CE24" s="733"/>
    </row>
    <row r="25" spans="2:87" ht="18.75" customHeight="1" x14ac:dyDescent="0.25">
      <c r="B25" s="3369"/>
      <c r="C25" s="3370"/>
      <c r="D25" s="3370"/>
      <c r="E25" s="3370"/>
      <c r="F25" s="3370"/>
      <c r="G25" s="3370"/>
      <c r="H25" s="3370"/>
      <c r="I25" s="3370"/>
      <c r="J25" s="3370"/>
      <c r="K25" s="3370"/>
      <c r="L25" s="745"/>
      <c r="M25" s="745"/>
      <c r="N25" s="749"/>
      <c r="O25" s="750"/>
      <c r="P25" s="750"/>
      <c r="Q25" s="750"/>
      <c r="W25" s="748">
        <v>213.21700000000004</v>
      </c>
      <c r="X25" s="748"/>
      <c r="Y25" s="748"/>
      <c r="Z25" s="748"/>
      <c r="AA25" s="748"/>
      <c r="AB25" s="748"/>
      <c r="AC25" s="748"/>
      <c r="AD25" s="748"/>
      <c r="AE25" s="748"/>
      <c r="AF25" s="748"/>
      <c r="AG25" s="748"/>
      <c r="AH25" s="748"/>
      <c r="AI25" s="748"/>
      <c r="AJ25" s="748"/>
      <c r="AK25" s="748"/>
      <c r="AL25" s="748"/>
      <c r="AM25" s="748"/>
      <c r="AN25" s="737"/>
      <c r="AO25" s="683" t="s">
        <v>148</v>
      </c>
      <c r="AP25" s="709">
        <v>9.4066349684668094</v>
      </c>
      <c r="AT25" s="707" t="s">
        <v>1051</v>
      </c>
      <c r="AU25" s="681">
        <f t="shared" si="11"/>
        <v>414.77875000000063</v>
      </c>
      <c r="AV25" s="681">
        <f t="shared" si="12"/>
        <v>398.54502000000144</v>
      </c>
      <c r="AW25" s="681">
        <f t="shared" si="13"/>
        <v>386.31654000000003</v>
      </c>
      <c r="AX25" s="681">
        <f t="shared" si="14"/>
        <v>365.2634500000006</v>
      </c>
      <c r="AY25" s="681">
        <f t="shared" si="15"/>
        <v>407.10756000000026</v>
      </c>
      <c r="AZ25" s="681">
        <f t="shared" si="16"/>
        <v>448.98441000000059</v>
      </c>
      <c r="BA25" s="681">
        <f t="shared" si="17"/>
        <v>523.78752000000145</v>
      </c>
      <c r="BB25" s="681">
        <f t="shared" si="18"/>
        <v>597.96845509385446</v>
      </c>
      <c r="BC25" s="681">
        <f t="shared" si="19"/>
        <v>627.79954463993192</v>
      </c>
      <c r="BD25" s="681">
        <f t="shared" si="20"/>
        <v>855.06422402389092</v>
      </c>
      <c r="BE25" s="681">
        <f t="shared" si="21"/>
        <v>1020.4930072414608</v>
      </c>
      <c r="BG25" s="709">
        <f t="shared" si="22"/>
        <v>0.85506422402389093</v>
      </c>
      <c r="BH25" s="709">
        <f t="shared" si="22"/>
        <v>1.0204930072414609</v>
      </c>
      <c r="BP25" s="731" t="s">
        <v>1416</v>
      </c>
      <c r="BQ25" s="694">
        <v>517.30519492411952</v>
      </c>
      <c r="BR25" s="694">
        <v>421.51906286922872</v>
      </c>
      <c r="BS25" s="693">
        <v>503.99247762146297</v>
      </c>
      <c r="BT25" s="693">
        <v>470.17587284217325</v>
      </c>
      <c r="BU25" s="693">
        <v>517.18520137753785</v>
      </c>
      <c r="BV25" s="693">
        <v>543.12351232463925</v>
      </c>
      <c r="BW25" s="693">
        <v>558.95208241269154</v>
      </c>
      <c r="BX25" s="694">
        <v>500.29186600241383</v>
      </c>
      <c r="BY25" s="694">
        <v>566.25006758087466</v>
      </c>
      <c r="BZ25" s="694">
        <v>542.84787430752021</v>
      </c>
      <c r="CA25" s="694">
        <v>530.35802755682653</v>
      </c>
      <c r="CB25" s="694">
        <v>589.80236445429136</v>
      </c>
      <c r="CC25" s="732">
        <f t="shared" si="9"/>
        <v>6261.8036042737804</v>
      </c>
      <c r="CD25" s="695">
        <f t="shared" si="10"/>
        <v>2973.3013219591617</v>
      </c>
      <c r="CE25" s="733"/>
    </row>
    <row r="26" spans="2:87" ht="18.75" customHeight="1" x14ac:dyDescent="0.25">
      <c r="B26" s="3369"/>
      <c r="C26" s="3370"/>
      <c r="D26" s="3370"/>
      <c r="E26" s="3370"/>
      <c r="F26" s="3370"/>
      <c r="G26" s="3370"/>
      <c r="H26" s="3370"/>
      <c r="I26" s="3370"/>
      <c r="J26" s="3370"/>
      <c r="K26" s="3370"/>
      <c r="L26" s="745"/>
      <c r="M26" s="745"/>
      <c r="N26" s="749"/>
      <c r="O26" s="750"/>
      <c r="P26" s="750"/>
      <c r="Q26" s="750"/>
      <c r="W26" s="748"/>
      <c r="X26" s="748"/>
      <c r="Y26" s="748"/>
      <c r="Z26" s="748"/>
      <c r="AA26" s="748">
        <f>+AA2</f>
        <v>0</v>
      </c>
      <c r="AB26" s="748"/>
      <c r="AC26" s="748"/>
      <c r="AD26" s="737"/>
      <c r="AE26" s="748"/>
      <c r="AF26" s="748"/>
      <c r="AG26" s="748"/>
      <c r="AH26" s="748"/>
      <c r="AI26" s="748"/>
      <c r="AJ26" s="748"/>
      <c r="AK26" s="748"/>
      <c r="AL26" s="748"/>
      <c r="AM26" s="748"/>
      <c r="AN26" s="737"/>
      <c r="AO26" s="683" t="s">
        <v>1045</v>
      </c>
      <c r="AP26" s="709">
        <v>7.4825513270457611</v>
      </c>
      <c r="AT26" s="707" t="s">
        <v>1066</v>
      </c>
      <c r="AU26" s="681">
        <f t="shared" si="11"/>
        <v>2632.6419309998919</v>
      </c>
      <c r="AV26" s="681">
        <f t="shared" si="12"/>
        <v>3195.9004009997934</v>
      </c>
      <c r="AW26" s="681">
        <f t="shared" si="13"/>
        <v>3305.3054349999056</v>
      </c>
      <c r="AX26" s="681">
        <f t="shared" si="14"/>
        <v>3310.0125299999108</v>
      </c>
      <c r="AY26" s="681">
        <f t="shared" si="15"/>
        <v>3571.1605999999747</v>
      </c>
      <c r="AZ26" s="681">
        <f t="shared" si="16"/>
        <v>3470.0676399999506</v>
      </c>
      <c r="BA26" s="681">
        <f t="shared" si="17"/>
        <v>3883.883311999889</v>
      </c>
      <c r="BB26" s="681">
        <f t="shared" si="18"/>
        <v>3667.9440164188036</v>
      </c>
      <c r="BC26" s="681">
        <f t="shared" si="19"/>
        <v>3833.3877818922078</v>
      </c>
      <c r="BD26" s="681">
        <f t="shared" si="20"/>
        <v>4097.298170697919</v>
      </c>
      <c r="BE26" s="681">
        <f t="shared" si="21"/>
        <v>4570.0049774841818</v>
      </c>
      <c r="BG26" s="709">
        <f t="shared" si="22"/>
        <v>4.0972981706979192</v>
      </c>
      <c r="BH26" s="709">
        <f t="shared" si="22"/>
        <v>4.5700049774841816</v>
      </c>
      <c r="BP26" s="731" t="s">
        <v>1054</v>
      </c>
      <c r="BQ26" s="694">
        <v>818.11130100000071</v>
      </c>
      <c r="BR26" s="694">
        <v>653.26933199999974</v>
      </c>
      <c r="BS26" s="693">
        <v>569.97439699999984</v>
      </c>
      <c r="BT26" s="693">
        <v>434.6525709999998</v>
      </c>
      <c r="BU26" s="693">
        <v>311.68892599999981</v>
      </c>
      <c r="BV26" s="693">
        <v>397.39102400000013</v>
      </c>
      <c r="BW26" s="693">
        <v>659.61865600000021</v>
      </c>
      <c r="BX26" s="694">
        <v>546.5288579999991</v>
      </c>
      <c r="BY26" s="694">
        <v>771.64562299999955</v>
      </c>
      <c r="BZ26" s="694">
        <v>826.31503999999984</v>
      </c>
      <c r="CA26" s="694">
        <v>883.85524300000031</v>
      </c>
      <c r="CB26" s="694">
        <v>943.27876499999832</v>
      </c>
      <c r="CC26" s="732">
        <f t="shared" si="9"/>
        <v>7816.329735999996</v>
      </c>
      <c r="CD26" s="695">
        <f t="shared" si="10"/>
        <v>3185.0875509999996</v>
      </c>
      <c r="CE26" s="733"/>
    </row>
    <row r="27" spans="2:87" ht="18.75" customHeight="1" x14ac:dyDescent="0.25">
      <c r="B27" s="3369"/>
      <c r="C27" s="3370"/>
      <c r="D27" s="3370"/>
      <c r="E27" s="3370"/>
      <c r="F27" s="3370"/>
      <c r="G27" s="3370"/>
      <c r="H27" s="3370"/>
      <c r="I27" s="3370"/>
      <c r="J27" s="3370"/>
      <c r="K27" s="3370"/>
      <c r="L27" s="745"/>
      <c r="M27" s="745"/>
      <c r="N27" s="749"/>
      <c r="O27" s="750"/>
      <c r="P27" s="750"/>
      <c r="Q27" s="750"/>
      <c r="W27" s="748"/>
      <c r="X27" s="748"/>
      <c r="Y27" s="748"/>
      <c r="Z27" s="748">
        <f>+((K5/D5)^(0.125)-1)</f>
        <v>6.0591594120971592E-2</v>
      </c>
      <c r="AA27" s="748"/>
      <c r="AB27" s="748"/>
      <c r="AC27" s="748"/>
      <c r="AD27" s="748"/>
      <c r="AE27" s="748"/>
      <c r="AF27" s="748"/>
      <c r="AG27" s="748"/>
      <c r="AH27" s="748"/>
      <c r="AI27" s="748"/>
      <c r="AJ27" s="748"/>
      <c r="AK27" s="748"/>
      <c r="AL27" s="748"/>
      <c r="AM27" s="748"/>
      <c r="AN27" s="737"/>
      <c r="AO27" s="683" t="s">
        <v>112</v>
      </c>
      <c r="AP27" s="709">
        <v>6.35430484952344</v>
      </c>
      <c r="AT27" s="707" t="s">
        <v>1414</v>
      </c>
      <c r="AU27" s="681">
        <f t="shared" si="11"/>
        <v>9306.7581799999698</v>
      </c>
      <c r="AV27" s="681">
        <f t="shared" si="12"/>
        <v>7656.4935699999887</v>
      </c>
      <c r="AW27" s="681">
        <f t="shared" si="13"/>
        <v>6235.6723000000093</v>
      </c>
      <c r="AX27" s="681">
        <f t="shared" si="14"/>
        <v>5960.8562199999969</v>
      </c>
      <c r="AY27" s="681">
        <f t="shared" si="15"/>
        <v>6632.3055200000008</v>
      </c>
      <c r="AZ27" s="681">
        <f t="shared" si="16"/>
        <v>7150.4293600000183</v>
      </c>
      <c r="BA27" s="681">
        <f t="shared" si="17"/>
        <v>6720.9720399999887</v>
      </c>
      <c r="BB27" s="681">
        <f t="shared" si="18"/>
        <v>6563.5669851158964</v>
      </c>
      <c r="BC27" s="681">
        <f t="shared" si="19"/>
        <v>6301.5391187901123</v>
      </c>
      <c r="BD27" s="681">
        <f t="shared" si="20"/>
        <v>5586.4816403750965</v>
      </c>
      <c r="BE27" s="681">
        <f t="shared" si="21"/>
        <v>6254.8721170070903</v>
      </c>
      <c r="BG27" s="709">
        <f t="shared" si="22"/>
        <v>5.5864816403750961</v>
      </c>
      <c r="BH27" s="709">
        <f t="shared" si="22"/>
        <v>6.25487211700709</v>
      </c>
      <c r="BP27" s="731" t="s">
        <v>1417</v>
      </c>
      <c r="BQ27" s="694">
        <v>797.04754000000003</v>
      </c>
      <c r="BR27" s="694">
        <v>981.2458250000002</v>
      </c>
      <c r="BS27" s="693">
        <v>1004.4394240000001</v>
      </c>
      <c r="BT27" s="693">
        <v>1168.0910309999999</v>
      </c>
      <c r="BU27" s="693">
        <v>927.6502260000002</v>
      </c>
      <c r="BV27" s="693">
        <v>891.1057780000001</v>
      </c>
      <c r="BW27" s="693">
        <v>1201.933319</v>
      </c>
      <c r="BX27" s="694">
        <v>926.12212300000033</v>
      </c>
      <c r="BY27" s="694">
        <v>1682.8144079999997</v>
      </c>
      <c r="BZ27" s="694">
        <v>1781.8686819999996</v>
      </c>
      <c r="CA27" s="694">
        <v>1519.9393269999996</v>
      </c>
      <c r="CB27" s="694">
        <v>1373.1742689999999</v>
      </c>
      <c r="CC27" s="732">
        <f t="shared" si="9"/>
        <v>14255.431952000001</v>
      </c>
      <c r="CD27" s="695">
        <f t="shared" si="10"/>
        <v>5769.5798240000013</v>
      </c>
      <c r="CE27" s="733"/>
    </row>
    <row r="28" spans="2:87" ht="18.75" customHeight="1" x14ac:dyDescent="0.25">
      <c r="B28" s="3369"/>
      <c r="C28" s="3370"/>
      <c r="D28" s="3370"/>
      <c r="E28" s="3370"/>
      <c r="F28" s="3370"/>
      <c r="G28" s="3370"/>
      <c r="H28" s="3370"/>
      <c r="I28" s="3370"/>
      <c r="J28" s="3370"/>
      <c r="K28" s="3370"/>
      <c r="L28" s="745"/>
      <c r="M28" s="745"/>
      <c r="N28" s="749"/>
      <c r="O28" s="750"/>
      <c r="P28" s="750"/>
      <c r="Q28" s="750"/>
      <c r="U28" s="681" t="s">
        <v>148</v>
      </c>
      <c r="V28" s="712">
        <v>11.059282194881881</v>
      </c>
      <c r="W28" s="748"/>
      <c r="X28" s="748"/>
      <c r="Y28" s="748"/>
      <c r="Z28" s="748"/>
      <c r="AA28" s="748"/>
      <c r="AB28" s="748"/>
      <c r="AC28" s="748"/>
      <c r="AD28" s="748"/>
      <c r="AE28" s="748"/>
      <c r="AF28" s="748"/>
      <c r="AG28" s="748"/>
      <c r="AH28" s="748"/>
      <c r="AI28" s="748"/>
      <c r="AJ28" s="748"/>
      <c r="AK28" s="748"/>
      <c r="AL28" s="748"/>
      <c r="AM28" s="748"/>
      <c r="AN28" s="737"/>
      <c r="AO28" s="683" t="s">
        <v>1066</v>
      </c>
      <c r="AP28" s="709">
        <v>5.6687527728083609</v>
      </c>
      <c r="AT28" s="707" t="s">
        <v>1054</v>
      </c>
      <c r="AU28" s="681">
        <f t="shared" si="11"/>
        <v>4638.2069590000319</v>
      </c>
      <c r="AV28" s="681">
        <f t="shared" si="12"/>
        <v>4676.194179000011</v>
      </c>
      <c r="AW28" s="681">
        <f t="shared" si="13"/>
        <v>5006.9575500000074</v>
      </c>
      <c r="AX28" s="681">
        <f t="shared" si="14"/>
        <v>5072.8328610000053</v>
      </c>
      <c r="AY28" s="681">
        <f t="shared" si="15"/>
        <v>5937.9387530000085</v>
      </c>
      <c r="AZ28" s="681">
        <f t="shared" si="16"/>
        <v>5935.5010180000172</v>
      </c>
      <c r="BA28" s="681">
        <f t="shared" si="17"/>
        <v>6085.8515270000116</v>
      </c>
      <c r="BB28" s="681">
        <f t="shared" si="18"/>
        <v>6707.6965820000241</v>
      </c>
      <c r="BC28" s="681">
        <f t="shared" si="19"/>
        <v>6720.3688499999871</v>
      </c>
      <c r="BD28" s="681">
        <f t="shared" si="20"/>
        <v>7523.9153900000001</v>
      </c>
      <c r="BE28" s="681">
        <f t="shared" si="21"/>
        <v>7873.6458730000677</v>
      </c>
      <c r="BG28" s="709">
        <f t="shared" si="22"/>
        <v>7.52391539</v>
      </c>
      <c r="BH28" s="709">
        <f t="shared" si="22"/>
        <v>7.8736458730000676</v>
      </c>
      <c r="BP28" s="731" t="s">
        <v>148</v>
      </c>
      <c r="BQ28" s="694">
        <v>895.02099817877843</v>
      </c>
      <c r="BR28" s="694">
        <v>872.91031307867638</v>
      </c>
      <c r="BS28" s="693">
        <v>866.09589878767997</v>
      </c>
      <c r="BT28" s="693">
        <v>1185.2689997117391</v>
      </c>
      <c r="BU28" s="693">
        <v>968.28778412777956</v>
      </c>
      <c r="BV28" s="693">
        <v>1281.9005574299331</v>
      </c>
      <c r="BW28" s="693">
        <v>977.78735683632567</v>
      </c>
      <c r="BX28" s="694">
        <v>1143.4547901385224</v>
      </c>
      <c r="BY28" s="694">
        <v>981.28460389225847</v>
      </c>
      <c r="BZ28" s="694">
        <v>1016.7121618514467</v>
      </c>
      <c r="CA28" s="694">
        <v>992.16454717907538</v>
      </c>
      <c r="CB28" s="694">
        <v>1116.277869391346</v>
      </c>
      <c r="CC28" s="732">
        <f t="shared" si="9"/>
        <v>12297.165880603561</v>
      </c>
      <c r="CD28" s="695">
        <f t="shared" si="10"/>
        <v>6069.4845513145865</v>
      </c>
      <c r="CE28" s="733"/>
    </row>
    <row r="29" spans="2:87" ht="15.75" customHeight="1" x14ac:dyDescent="0.25">
      <c r="B29" s="3369"/>
      <c r="C29" s="3370"/>
      <c r="D29" s="3370"/>
      <c r="E29" s="3370"/>
      <c r="F29" s="3370"/>
      <c r="G29" s="3370"/>
      <c r="H29" s="3370"/>
      <c r="I29" s="3370"/>
      <c r="J29" s="3370"/>
      <c r="K29" s="3370"/>
      <c r="L29" s="745"/>
      <c r="M29" s="745"/>
      <c r="N29" s="749"/>
      <c r="O29" s="750"/>
      <c r="P29" s="750"/>
      <c r="Q29" s="750"/>
      <c r="U29" s="681" t="s">
        <v>1045</v>
      </c>
      <c r="V29" s="712">
        <v>8.3093006091140111</v>
      </c>
      <c r="W29" s="748"/>
      <c r="X29" s="748"/>
      <c r="Y29" s="748"/>
      <c r="Z29" s="748"/>
      <c r="AA29" s="748"/>
      <c r="AB29" s="748"/>
      <c r="AC29" s="748"/>
      <c r="AD29" s="748"/>
      <c r="AE29" s="748"/>
      <c r="AF29" s="748"/>
      <c r="AG29" s="748"/>
      <c r="AH29" s="748"/>
      <c r="AI29" s="748"/>
      <c r="AJ29" s="748"/>
      <c r="AK29" s="748"/>
      <c r="AL29" s="748"/>
      <c r="AM29" s="748"/>
      <c r="AN29" s="737"/>
      <c r="AO29" s="683" t="s">
        <v>1054</v>
      </c>
      <c r="AP29" s="709">
        <v>5.4349298370270471</v>
      </c>
      <c r="AT29" s="707" t="s">
        <v>1157</v>
      </c>
      <c r="AU29" s="681">
        <f t="shared" si="11"/>
        <v>6137.6997470000088</v>
      </c>
      <c r="AV29" s="681">
        <f t="shared" si="12"/>
        <v>10134.902610999992</v>
      </c>
      <c r="AW29" s="681">
        <f t="shared" si="13"/>
        <v>11755.77787800001</v>
      </c>
      <c r="AX29" s="681">
        <f t="shared" si="14"/>
        <v>14557.450646000007</v>
      </c>
      <c r="AY29" s="681">
        <f t="shared" si="15"/>
        <v>19297.422279000002</v>
      </c>
      <c r="AZ29" s="681">
        <f t="shared" si="16"/>
        <v>23963.986065000012</v>
      </c>
      <c r="BA29" s="681">
        <f t="shared" si="17"/>
        <v>25656.728721999993</v>
      </c>
      <c r="BB29" s="681">
        <f t="shared" si="18"/>
        <v>21345.929859999978</v>
      </c>
      <c r="BC29" s="681">
        <f t="shared" si="19"/>
        <v>21708.158824999988</v>
      </c>
      <c r="BD29" s="681">
        <f t="shared" si="20"/>
        <v>15605.152572000001</v>
      </c>
      <c r="BE29" s="681">
        <f t="shared" si="21"/>
        <v>15771.667849000029</v>
      </c>
      <c r="BG29" s="709">
        <f t="shared" si="22"/>
        <v>15.605152572000001</v>
      </c>
      <c r="BH29" s="709">
        <f t="shared" si="22"/>
        <v>15.771667849000028</v>
      </c>
      <c r="BP29" s="751" t="s">
        <v>237</v>
      </c>
      <c r="BQ29" s="752">
        <v>16636.33741275439</v>
      </c>
      <c r="BR29" s="752">
        <v>14782.174947494843</v>
      </c>
      <c r="BS29" s="752">
        <v>15871.950680903177</v>
      </c>
      <c r="BT29" s="752">
        <v>16648.737498397517</v>
      </c>
      <c r="BU29" s="752">
        <v>15360.132008764482</v>
      </c>
      <c r="BV29" s="752">
        <v>15931.401784601007</v>
      </c>
      <c r="BW29" s="752">
        <v>17814.131693310923</v>
      </c>
      <c r="BX29" s="752">
        <v>17094.884555282846</v>
      </c>
      <c r="BY29" s="752">
        <v>19004.136653859994</v>
      </c>
      <c r="BZ29" s="752">
        <v>18089.225878163674</v>
      </c>
      <c r="CA29" s="752">
        <v>17605.942630624577</v>
      </c>
      <c r="CB29" s="752">
        <v>19881.07145049372</v>
      </c>
      <c r="CC29" s="732">
        <f>+SUM(CC17:CC28)</f>
        <v>201696.6577316687</v>
      </c>
      <c r="CD29" s="696">
        <f t="shared" si="10"/>
        <v>95230.734332915425</v>
      </c>
    </row>
    <row r="30" spans="2:87" ht="15" customHeight="1" x14ac:dyDescent="0.25">
      <c r="B30" s="3369"/>
      <c r="C30" s="3370"/>
      <c r="D30" s="3370"/>
      <c r="E30" s="3370"/>
      <c r="F30" s="3370"/>
      <c r="G30" s="3370"/>
      <c r="H30" s="3370"/>
      <c r="I30" s="3370"/>
      <c r="J30" s="3370"/>
      <c r="K30" s="3370"/>
      <c r="L30" s="745"/>
      <c r="M30" s="745"/>
      <c r="N30" s="749"/>
      <c r="O30" s="750"/>
      <c r="P30" s="750"/>
      <c r="Q30" s="750"/>
      <c r="U30" s="681" t="s">
        <v>112</v>
      </c>
      <c r="V30" s="712">
        <v>6.2124818355207667</v>
      </c>
      <c r="W30" s="748"/>
      <c r="X30" s="748"/>
      <c r="Y30" s="748"/>
      <c r="Z30" s="748"/>
      <c r="AA30" s="748"/>
      <c r="AB30" s="748"/>
      <c r="AC30" s="748"/>
      <c r="AD30" s="748"/>
      <c r="AE30" s="748"/>
      <c r="AF30" s="748"/>
      <c r="AG30" s="748"/>
      <c r="AH30" s="748"/>
      <c r="AI30" s="748"/>
      <c r="AJ30" s="748"/>
      <c r="AK30" s="748"/>
      <c r="AL30" s="748"/>
      <c r="AM30" s="748"/>
      <c r="AN30" s="737"/>
      <c r="AO30" s="683" t="s">
        <v>1046</v>
      </c>
      <c r="AP30" s="709">
        <v>2.4366545181550903</v>
      </c>
      <c r="AT30" s="707" t="s">
        <v>1422</v>
      </c>
      <c r="AU30" s="681">
        <f t="shared" si="11"/>
        <v>4921.97764799994</v>
      </c>
      <c r="AV30" s="681">
        <f t="shared" si="12"/>
        <v>5507.0684759999931</v>
      </c>
      <c r="AW30" s="681">
        <f t="shared" si="13"/>
        <v>5954.2834709999606</v>
      </c>
      <c r="AX30" s="681">
        <f t="shared" si="14"/>
        <v>5868.2929409999615</v>
      </c>
      <c r="AY30" s="681">
        <f t="shared" si="15"/>
        <v>6350.2088229999736</v>
      </c>
      <c r="AZ30" s="681">
        <f t="shared" si="16"/>
        <v>6591.624000999981</v>
      </c>
      <c r="BA30" s="681">
        <f t="shared" si="17"/>
        <v>8336.6194899999755</v>
      </c>
      <c r="BB30" s="681">
        <f t="shared" si="18"/>
        <v>11721.053394377961</v>
      </c>
      <c r="BC30" s="681">
        <f t="shared" si="19"/>
        <v>11364.879098398802</v>
      </c>
      <c r="BD30" s="681">
        <f t="shared" si="20"/>
        <v>12791.280918668364</v>
      </c>
      <c r="BE30" s="681">
        <f t="shared" si="21"/>
        <v>12098.89883159186</v>
      </c>
      <c r="BG30" s="709">
        <f t="shared" si="22"/>
        <v>12.791280918668365</v>
      </c>
      <c r="BH30" s="709">
        <f t="shared" si="22"/>
        <v>12.09889883159186</v>
      </c>
    </row>
    <row r="31" spans="2:87" ht="15" customHeight="1" x14ac:dyDescent="0.25">
      <c r="B31" s="3369"/>
      <c r="C31" s="3370"/>
      <c r="D31" s="3370"/>
      <c r="E31" s="3370"/>
      <c r="F31" s="3370"/>
      <c r="G31" s="3370"/>
      <c r="H31" s="3370"/>
      <c r="I31" s="3370"/>
      <c r="J31" s="3370"/>
      <c r="K31" s="3370"/>
      <c r="L31" s="745"/>
      <c r="M31" s="745"/>
      <c r="N31" s="749"/>
      <c r="O31" s="750"/>
      <c r="P31" s="750"/>
      <c r="Q31" s="750"/>
      <c r="U31" s="709" t="s">
        <v>1051</v>
      </c>
      <c r="V31" s="712">
        <v>6.1726571993654389</v>
      </c>
      <c r="AN31" s="737"/>
      <c r="AO31" s="683" t="s">
        <v>1050</v>
      </c>
      <c r="AP31" s="709">
        <v>1.7063716014408703</v>
      </c>
      <c r="BG31" s="709"/>
      <c r="BH31" s="709"/>
    </row>
    <row r="32" spans="2:87" ht="15" customHeight="1" x14ac:dyDescent="0.25">
      <c r="B32" s="3369"/>
      <c r="C32" s="3370"/>
      <c r="D32" s="3370"/>
      <c r="E32" s="3370"/>
      <c r="F32" s="3370"/>
      <c r="G32" s="3370"/>
      <c r="H32" s="3370"/>
      <c r="I32" s="3370"/>
      <c r="J32" s="3370"/>
      <c r="K32" s="3370"/>
      <c r="L32" s="745"/>
      <c r="M32" s="745"/>
      <c r="N32" s="749"/>
      <c r="O32" s="750"/>
      <c r="P32" s="750"/>
      <c r="Q32" s="750"/>
      <c r="U32" s="709" t="s">
        <v>1157</v>
      </c>
      <c r="V32" s="712">
        <v>5.8332371734662214</v>
      </c>
      <c r="AO32" s="683" t="s">
        <v>1049</v>
      </c>
      <c r="AP32" s="709">
        <v>-0.99728322708739769</v>
      </c>
      <c r="AU32" s="681">
        <f t="shared" ref="AU32:BE32" si="23">+SUM(AU19:AU30)</f>
        <v>148132.20544200597</v>
      </c>
      <c r="AV32" s="681">
        <f t="shared" si="23"/>
        <v>157057.02194098677</v>
      </c>
      <c r="AW32" s="681">
        <f t="shared" si="23"/>
        <v>158406.85351999808</v>
      </c>
      <c r="AX32" s="681">
        <f t="shared" si="23"/>
        <v>165520.1181329923</v>
      </c>
      <c r="AY32" s="681">
        <f t="shared" si="23"/>
        <v>184673.9027770017</v>
      </c>
      <c r="AZ32" s="681">
        <f t="shared" si="23"/>
        <v>194597.26743199673</v>
      </c>
      <c r="BA32" s="681">
        <f t="shared" si="23"/>
        <v>206166.16683998817</v>
      </c>
      <c r="BB32" s="681">
        <f t="shared" si="23"/>
        <v>213216.25920886628</v>
      </c>
      <c r="BC32" s="681">
        <f t="shared" si="23"/>
        <v>214126.62644980694</v>
      </c>
      <c r="BD32" s="681">
        <f t="shared" si="23"/>
        <v>194295.32182621546</v>
      </c>
      <c r="BE32" s="681">
        <f t="shared" si="23"/>
        <v>204233.36679746164</v>
      </c>
      <c r="BG32" s="709">
        <f>+BD32/1000</f>
        <v>194.29532182621546</v>
      </c>
      <c r="BH32" s="709">
        <f>+BE32/1000</f>
        <v>204.23336679746163</v>
      </c>
    </row>
    <row r="33" spans="2:59" ht="15" customHeight="1" x14ac:dyDescent="0.25">
      <c r="B33" s="3369"/>
      <c r="C33" s="3370"/>
      <c r="D33" s="3370"/>
      <c r="E33" s="3370"/>
      <c r="F33" s="3370"/>
      <c r="G33" s="3370"/>
      <c r="H33" s="3370"/>
      <c r="I33" s="3370"/>
      <c r="J33" s="3370"/>
      <c r="K33" s="3370"/>
      <c r="L33" s="745"/>
      <c r="M33" s="745"/>
      <c r="N33" s="749"/>
      <c r="O33" s="750"/>
      <c r="P33" s="750"/>
      <c r="Q33" s="750"/>
      <c r="U33" s="709" t="s">
        <v>1054</v>
      </c>
      <c r="V33" s="712">
        <v>5.2353816395070751</v>
      </c>
      <c r="AO33" s="683" t="s">
        <v>1414</v>
      </c>
      <c r="AP33" s="709">
        <v>-3.8961309966442093</v>
      </c>
      <c r="AU33" s="65" t="s">
        <v>1401</v>
      </c>
      <c r="AV33" s="65" t="s">
        <v>1402</v>
      </c>
      <c r="AW33" s="65" t="s">
        <v>1403</v>
      </c>
      <c r="AX33" s="65" t="s">
        <v>1404</v>
      </c>
      <c r="AY33" s="65" t="s">
        <v>1405</v>
      </c>
      <c r="AZ33" s="65" t="s">
        <v>1406</v>
      </c>
      <c r="BA33" s="65" t="s">
        <v>1407</v>
      </c>
      <c r="BB33" s="65" t="s">
        <v>1408</v>
      </c>
      <c r="BC33" s="65" t="s">
        <v>1409</v>
      </c>
      <c r="BD33" s="65" t="s">
        <v>1410</v>
      </c>
      <c r="BE33" s="65" t="s">
        <v>1411</v>
      </c>
      <c r="BF33" s="65" t="s">
        <v>1428</v>
      </c>
    </row>
    <row r="34" spans="2:59" ht="15" customHeight="1" x14ac:dyDescent="0.25">
      <c r="B34" s="3369"/>
      <c r="C34" s="3370"/>
      <c r="D34" s="3370"/>
      <c r="E34" s="3370"/>
      <c r="F34" s="3370"/>
      <c r="G34" s="3370"/>
      <c r="H34" s="3370"/>
      <c r="I34" s="3370"/>
      <c r="J34" s="3370"/>
      <c r="K34" s="3370"/>
      <c r="L34" s="745"/>
      <c r="M34" s="745"/>
      <c r="N34" s="749"/>
      <c r="O34" s="750"/>
      <c r="P34" s="750"/>
      <c r="Q34" s="750"/>
      <c r="U34" s="709" t="s">
        <v>1049</v>
      </c>
      <c r="V34" s="712">
        <v>3.4002679922733758</v>
      </c>
      <c r="AO34" s="683" t="s">
        <v>1059</v>
      </c>
      <c r="AP34" s="709">
        <v>-15.68781197271406</v>
      </c>
    </row>
    <row r="35" spans="2:59" ht="15" customHeight="1" x14ac:dyDescent="0.25">
      <c r="B35" s="3369"/>
      <c r="C35" s="3370"/>
      <c r="D35" s="3370"/>
      <c r="E35" s="3370"/>
      <c r="F35" s="3370"/>
      <c r="G35" s="3370"/>
      <c r="H35" s="3370"/>
      <c r="I35" s="3370"/>
      <c r="J35" s="3370"/>
      <c r="K35" s="3370"/>
      <c r="L35" s="745"/>
      <c r="M35" s="745"/>
      <c r="N35" s="749"/>
      <c r="O35" s="750"/>
      <c r="P35" s="750"/>
      <c r="Q35" s="750"/>
      <c r="U35" s="709" t="s">
        <v>1050</v>
      </c>
      <c r="V35" s="712">
        <v>2.202592777427359</v>
      </c>
      <c r="AT35" s="711" t="s">
        <v>1049</v>
      </c>
      <c r="AU35">
        <v>5537.9870300000002</v>
      </c>
      <c r="AV35">
        <v>5272.4551500000016</v>
      </c>
      <c r="AW35">
        <v>5506.7392100000006</v>
      </c>
      <c r="AX35">
        <v>5724.9376500000035</v>
      </c>
      <c r="AY35">
        <v>6263.6860900000047</v>
      </c>
      <c r="AZ35">
        <v>6999.365429999988</v>
      </c>
      <c r="BA35">
        <v>7634.8632700000035</v>
      </c>
      <c r="BB35">
        <v>8302.0577689257061</v>
      </c>
      <c r="BC35">
        <v>7998.6090355175374</v>
      </c>
      <c r="BD35">
        <v>3697.7549794394808</v>
      </c>
      <c r="BE35">
        <v>5008.0332718782665</v>
      </c>
      <c r="BF35">
        <v>3511.2912326577498</v>
      </c>
      <c r="BG35">
        <v>71457.780118418741</v>
      </c>
    </row>
    <row r="36" spans="2:59" ht="15" customHeight="1" x14ac:dyDescent="0.25">
      <c r="B36" s="3369"/>
      <c r="C36" s="3370"/>
      <c r="D36" s="3370"/>
      <c r="E36" s="3370"/>
      <c r="F36" s="3370"/>
      <c r="G36" s="3370"/>
      <c r="H36" s="3370"/>
      <c r="I36" s="3370"/>
      <c r="J36" s="3370"/>
      <c r="K36" s="3370"/>
      <c r="L36" s="745"/>
      <c r="M36" s="745"/>
      <c r="N36" s="749"/>
      <c r="O36" s="750"/>
      <c r="P36" s="750"/>
      <c r="Q36" s="750"/>
      <c r="U36" s="709" t="s">
        <v>1066</v>
      </c>
      <c r="V36" s="712">
        <v>1.8065159300637568</v>
      </c>
      <c r="AT36" s="711" t="s">
        <v>1413</v>
      </c>
      <c r="AU36">
        <v>4638.2069590000319</v>
      </c>
      <c r="AV36">
        <v>4676.194179000011</v>
      </c>
      <c r="AW36">
        <v>5006.9575500000074</v>
      </c>
      <c r="AX36">
        <v>5072.8328610000053</v>
      </c>
      <c r="AY36">
        <v>5937.9387530000085</v>
      </c>
      <c r="AZ36">
        <v>5935.5010180000172</v>
      </c>
      <c r="BA36">
        <v>6085.8515270000116</v>
      </c>
      <c r="BB36">
        <v>6707.6965820000241</v>
      </c>
      <c r="BC36">
        <v>6720.3688499999871</v>
      </c>
      <c r="BD36">
        <v>7523.9153900000101</v>
      </c>
      <c r="BE36">
        <v>7873.6458730000677</v>
      </c>
      <c r="BF36">
        <v>3548.8354854799895</v>
      </c>
      <c r="BG36">
        <v>69727.945027480164</v>
      </c>
    </row>
    <row r="37" spans="2:59" ht="15" customHeight="1" x14ac:dyDescent="0.25">
      <c r="B37" s="3369"/>
      <c r="C37" s="3370"/>
      <c r="D37" s="3370"/>
      <c r="E37" s="3370"/>
      <c r="F37" s="3370"/>
      <c r="G37" s="3370"/>
      <c r="H37" s="3370"/>
      <c r="I37" s="3370"/>
      <c r="J37" s="3370"/>
      <c r="K37" s="3370"/>
      <c r="L37" s="745"/>
      <c r="M37" s="745"/>
      <c r="N37" s="749"/>
      <c r="O37" s="750"/>
      <c r="P37" s="750"/>
      <c r="Q37" s="750"/>
      <c r="U37" s="709" t="s">
        <v>1046</v>
      </c>
      <c r="V37" s="712">
        <v>-7.5204269032846938E-2</v>
      </c>
      <c r="AN37" s="681" t="s">
        <v>7</v>
      </c>
      <c r="AO37" s="683" t="s">
        <v>8</v>
      </c>
      <c r="AT37" s="711" t="s">
        <v>1414</v>
      </c>
      <c r="AU37">
        <v>9306.7581799999698</v>
      </c>
      <c r="AV37">
        <v>7656.4935699999887</v>
      </c>
      <c r="AW37">
        <v>6235.6723000000093</v>
      </c>
      <c r="AX37">
        <v>5960.8562199999969</v>
      </c>
      <c r="AY37">
        <v>6632.3055200000008</v>
      </c>
      <c r="AZ37">
        <v>7150.4293600000183</v>
      </c>
      <c r="BA37">
        <v>6720.9720399999887</v>
      </c>
      <c r="BB37">
        <v>6563.5669851158964</v>
      </c>
      <c r="BC37">
        <v>6301.5391187901123</v>
      </c>
      <c r="BD37">
        <v>5586.4816403750992</v>
      </c>
      <c r="BE37">
        <v>6254.8721170070903</v>
      </c>
      <c r="BF37">
        <v>3348.7307109229778</v>
      </c>
      <c r="BG37">
        <v>77718.67776221114</v>
      </c>
    </row>
    <row r="38" spans="2:59" ht="15" customHeight="1" x14ac:dyDescent="0.25">
      <c r="B38" s="3369"/>
      <c r="C38" s="3370"/>
      <c r="D38" s="3370"/>
      <c r="E38" s="3370"/>
      <c r="F38" s="3370"/>
      <c r="G38" s="3370"/>
      <c r="H38" s="3370"/>
      <c r="I38" s="3370"/>
      <c r="J38" s="3370"/>
      <c r="K38" s="3370"/>
      <c r="L38" s="745"/>
      <c r="M38" s="745"/>
      <c r="N38" s="749"/>
      <c r="O38" s="750"/>
      <c r="P38" s="750"/>
      <c r="Q38" s="750"/>
      <c r="U38" s="709" t="s">
        <v>1414</v>
      </c>
      <c r="V38" s="712">
        <v>-0.96749866221328418</v>
      </c>
      <c r="AN38" s="681">
        <v>213.2</v>
      </c>
      <c r="AO38" s="683">
        <v>214.1</v>
      </c>
      <c r="AP38" s="683">
        <v>204.2</v>
      </c>
      <c r="AQ38" s="681">
        <f>+AO38-AP38</f>
        <v>9.9000000000000057</v>
      </c>
      <c r="AR38" s="681">
        <f>+AP38-AN38</f>
        <v>-9</v>
      </c>
      <c r="AT38" s="711" t="s">
        <v>1050</v>
      </c>
      <c r="AU38">
        <v>64749.976630006568</v>
      </c>
      <c r="AV38">
        <v>69080.048929988552</v>
      </c>
      <c r="AW38">
        <v>68363.923709999086</v>
      </c>
      <c r="AX38">
        <v>69416.220119993057</v>
      </c>
      <c r="AY38">
        <v>74647.07201000223</v>
      </c>
      <c r="AZ38">
        <v>76026.571259997334</v>
      </c>
      <c r="BA38">
        <v>81073.436459989083</v>
      </c>
      <c r="BB38">
        <v>83528.148922574866</v>
      </c>
      <c r="BC38">
        <v>82602.012505469669</v>
      </c>
      <c r="BD38">
        <v>72712.727140739269</v>
      </c>
      <c r="BE38">
        <v>76686.935477072548</v>
      </c>
      <c r="BF38">
        <v>41399.841208806014</v>
      </c>
      <c r="BG38">
        <v>860286.91437463835</v>
      </c>
    </row>
    <row r="39" spans="2:59" ht="15" customHeight="1" x14ac:dyDescent="0.25">
      <c r="B39" s="3369"/>
      <c r="C39" s="3370"/>
      <c r="D39" s="3370"/>
      <c r="E39" s="3370"/>
      <c r="F39" s="3370"/>
      <c r="G39" s="3370"/>
      <c r="H39" s="3370"/>
      <c r="I39" s="3370"/>
      <c r="J39" s="3370"/>
      <c r="K39" s="3370"/>
      <c r="L39" s="745"/>
      <c r="M39" s="745"/>
      <c r="N39" s="749"/>
      <c r="O39" s="750"/>
      <c r="P39" s="750"/>
      <c r="Q39" s="750"/>
      <c r="U39" s="709" t="s">
        <v>1059</v>
      </c>
      <c r="V39" s="712">
        <v>-23.885467658238447</v>
      </c>
      <c r="AQ39" s="681">
        <f>100*AQ38/AO38</f>
        <v>4.6240074731433936</v>
      </c>
      <c r="AR39" s="681">
        <f>100*AR38/AN38</f>
        <v>-4.2213883677298316</v>
      </c>
      <c r="AT39" s="711" t="s">
        <v>1429</v>
      </c>
      <c r="AU39">
        <v>8228.5972700000002</v>
      </c>
      <c r="AV39">
        <v>7501.5033499998599</v>
      </c>
      <c r="AW39">
        <v>7164.7700399999503</v>
      </c>
      <c r="AX39">
        <v>7086.7181899998923</v>
      </c>
      <c r="AY39">
        <v>6826.3065899999674</v>
      </c>
      <c r="AZ39">
        <v>5396.8133900000194</v>
      </c>
      <c r="BA39">
        <v>3845.1181100000049</v>
      </c>
      <c r="BB39">
        <v>3459.4582651112664</v>
      </c>
      <c r="BC39">
        <v>2396.8245022973788</v>
      </c>
      <c r="BD39">
        <v>1797.8712490700759</v>
      </c>
      <c r="BE39">
        <v>1493.6562577362229</v>
      </c>
      <c r="BF39">
        <v>281.17722200896418</v>
      </c>
      <c r="BG39">
        <v>55478.814436223598</v>
      </c>
    </row>
    <row r="40" spans="2:59" ht="111" customHeight="1" x14ac:dyDescent="0.25">
      <c r="B40" s="3369"/>
      <c r="C40" s="3370"/>
      <c r="D40" s="3370"/>
      <c r="E40" s="3370"/>
      <c r="F40" s="3370"/>
      <c r="G40" s="3370"/>
      <c r="H40" s="3370"/>
      <c r="I40" s="3370"/>
      <c r="J40" s="3370"/>
      <c r="K40" s="3370"/>
      <c r="L40" s="745"/>
      <c r="M40" s="745"/>
      <c r="N40" s="749"/>
      <c r="O40" s="750"/>
      <c r="P40" s="750"/>
      <c r="Q40" s="750"/>
      <c r="U40" s="709"/>
      <c r="AT40" s="711" t="s">
        <v>1051</v>
      </c>
      <c r="AU40">
        <v>414.77875000000063</v>
      </c>
      <c r="AV40">
        <v>398.54502000000144</v>
      </c>
      <c r="AW40">
        <v>386.31654000000003</v>
      </c>
      <c r="AX40">
        <v>365.2634500000006</v>
      </c>
      <c r="AY40">
        <v>407.10756000000026</v>
      </c>
      <c r="AZ40">
        <v>448.98441000000059</v>
      </c>
      <c r="BA40">
        <v>523.78752000000145</v>
      </c>
      <c r="BB40">
        <v>597.96845509385446</v>
      </c>
      <c r="BC40">
        <v>627.79954463993192</v>
      </c>
      <c r="BD40">
        <v>855.06422402389489</v>
      </c>
      <c r="BE40">
        <v>1020.4930072414608</v>
      </c>
      <c r="BF40">
        <v>353.06759999829387</v>
      </c>
      <c r="BG40">
        <v>6399.1760809974412</v>
      </c>
    </row>
    <row r="41" spans="2:59" ht="15.75" customHeight="1" x14ac:dyDescent="0.25">
      <c r="B41" s="3371" t="s">
        <v>3012</v>
      </c>
      <c r="C41" s="3372"/>
      <c r="D41" s="3372"/>
      <c r="E41" s="3372"/>
      <c r="F41" s="3372"/>
      <c r="G41" s="3372"/>
      <c r="H41" s="3372"/>
      <c r="I41" s="3372"/>
      <c r="J41" s="3372"/>
      <c r="K41" s="3372"/>
      <c r="L41" s="3372"/>
      <c r="M41" s="3372"/>
      <c r="N41" s="3373"/>
      <c r="O41" s="754"/>
      <c r="P41" s="753"/>
      <c r="U41" s="709"/>
      <c r="AT41" s="711" t="s">
        <v>112</v>
      </c>
      <c r="AU41">
        <v>15349.658957000021</v>
      </c>
      <c r="AV41">
        <v>15600.640683999594</v>
      </c>
      <c r="AW41">
        <v>16293.648825999921</v>
      </c>
      <c r="AX41">
        <v>18000.102374999984</v>
      </c>
      <c r="AY41">
        <v>19623.222261999977</v>
      </c>
      <c r="AZ41">
        <v>21608.21023799992</v>
      </c>
      <c r="BA41">
        <v>23341.821038999697</v>
      </c>
      <c r="BB41">
        <v>24906.789338279406</v>
      </c>
      <c r="BC41">
        <v>26329.779999006474</v>
      </c>
      <c r="BD41">
        <v>27558.426378406348</v>
      </c>
      <c r="BE41">
        <v>28329.712289991377</v>
      </c>
      <c r="BF41">
        <v>13812.31880149411</v>
      </c>
      <c r="BG41">
        <v>250754.33118817685</v>
      </c>
    </row>
    <row r="42" spans="2:59" ht="84" customHeight="1" thickBot="1" x14ac:dyDescent="0.3">
      <c r="B42" s="3374"/>
      <c r="C42" s="3375"/>
      <c r="D42" s="3375"/>
      <c r="E42" s="3375"/>
      <c r="F42" s="3375"/>
      <c r="G42" s="3375"/>
      <c r="H42" s="3375"/>
      <c r="I42" s="3375"/>
      <c r="J42" s="3375"/>
      <c r="K42" s="3375"/>
      <c r="L42" s="3375"/>
      <c r="M42" s="3375"/>
      <c r="N42" s="3376"/>
      <c r="O42" s="754"/>
      <c r="P42" s="753"/>
      <c r="U42" s="709"/>
      <c r="AT42" s="711" t="s">
        <v>1430</v>
      </c>
      <c r="AU42">
        <v>2632.6419309998919</v>
      </c>
      <c r="AV42">
        <v>3195.9004009997934</v>
      </c>
      <c r="AW42">
        <v>3305.3054349999056</v>
      </c>
      <c r="AX42">
        <v>3310.0125299999108</v>
      </c>
      <c r="AY42">
        <v>3571.1605999999747</v>
      </c>
      <c r="AZ42">
        <v>3470.0676399999506</v>
      </c>
      <c r="BA42">
        <v>3883.883311999889</v>
      </c>
      <c r="BB42">
        <v>3667.9440164188036</v>
      </c>
      <c r="BC42">
        <v>3833.3877818922078</v>
      </c>
      <c r="BD42">
        <v>4097.2981706985238</v>
      </c>
      <c r="BE42">
        <v>4570.0049774841818</v>
      </c>
      <c r="BF42">
        <v>2147.3631573286084</v>
      </c>
      <c r="BG42">
        <v>41684.969952821652</v>
      </c>
    </row>
    <row r="43" spans="2:59" x14ac:dyDescent="0.25">
      <c r="U43" s="709"/>
      <c r="AT43" s="711" t="s">
        <v>1431</v>
      </c>
      <c r="AU43">
        <v>14992.410169999541</v>
      </c>
      <c r="AV43">
        <v>15743.901039998997</v>
      </c>
      <c r="AW43">
        <v>17128.2559099992</v>
      </c>
      <c r="AX43">
        <v>19075.402439999474</v>
      </c>
      <c r="AY43">
        <v>21846.6308999996</v>
      </c>
      <c r="AZ43">
        <v>23764.934029999491</v>
      </c>
      <c r="BA43">
        <v>26174.47835999947</v>
      </c>
      <c r="BB43">
        <v>28284.413977447435</v>
      </c>
      <c r="BC43">
        <v>29975.488406249358</v>
      </c>
      <c r="BD43">
        <v>27968.99371044974</v>
      </c>
      <c r="BE43">
        <v>30848.868653478581</v>
      </c>
      <c r="BF43">
        <v>17423.316431960746</v>
      </c>
      <c r="BG43">
        <v>273227.09402958158</v>
      </c>
    </row>
    <row r="44" spans="2:59" x14ac:dyDescent="0.25">
      <c r="AT44" s="711" t="s">
        <v>1418</v>
      </c>
      <c r="AU44">
        <v>11221.512170000005</v>
      </c>
      <c r="AV44">
        <v>12289.368529999996</v>
      </c>
      <c r="AW44">
        <v>11305.202649999996</v>
      </c>
      <c r="AX44">
        <v>11082.028710000001</v>
      </c>
      <c r="AY44">
        <v>13270.841390000001</v>
      </c>
      <c r="AZ44">
        <v>13240.780590000004</v>
      </c>
      <c r="BA44">
        <v>12888.606990000007</v>
      </c>
      <c r="BB44">
        <v>14131.231643521081</v>
      </c>
      <c r="BC44">
        <v>14267.778782545445</v>
      </c>
      <c r="BD44">
        <v>14100.355452353546</v>
      </c>
      <c r="BE44">
        <v>14276.578191979996</v>
      </c>
      <c r="BF44">
        <v>6388.3520592899959</v>
      </c>
      <c r="BG44">
        <v>148462.63715969006</v>
      </c>
    </row>
    <row r="45" spans="2:59" x14ac:dyDescent="0.25">
      <c r="C45" s="681"/>
      <c r="D45" s="755"/>
      <c r="E45" s="681"/>
      <c r="AT45" s="711" t="s">
        <v>1420</v>
      </c>
      <c r="AU45">
        <v>4921.97764799994</v>
      </c>
      <c r="AV45">
        <v>5507.0684759999931</v>
      </c>
      <c r="AW45">
        <v>5954.2834709999606</v>
      </c>
      <c r="AX45">
        <v>5868.2929409999615</v>
      </c>
      <c r="AY45">
        <v>6350.2088229999736</v>
      </c>
      <c r="AZ45">
        <v>6591.624000999981</v>
      </c>
      <c r="BA45">
        <v>8336.6194899999755</v>
      </c>
      <c r="BB45">
        <v>11721.053394377961</v>
      </c>
      <c r="BC45">
        <v>11364.879098398802</v>
      </c>
      <c r="BD45">
        <v>12791.280918668313</v>
      </c>
      <c r="BE45">
        <v>12098.89883159186</v>
      </c>
      <c r="BF45">
        <v>7845.633726820306</v>
      </c>
      <c r="BG45">
        <v>99351.820819857021</v>
      </c>
    </row>
    <row r="46" spans="2:59" x14ac:dyDescent="0.25">
      <c r="C46" s="681"/>
      <c r="D46" s="681"/>
      <c r="E46" s="681"/>
      <c r="F46" s="1267"/>
      <c r="AT46" s="711" t="s">
        <v>1432</v>
      </c>
      <c r="AU46">
        <v>6137.6997470000088</v>
      </c>
      <c r="AV46">
        <v>10134.902610999992</v>
      </c>
      <c r="AW46">
        <v>11755.77787800001</v>
      </c>
      <c r="AX46">
        <v>14557.450646000007</v>
      </c>
      <c r="AY46">
        <v>19297.422279000002</v>
      </c>
      <c r="AZ46">
        <v>23963.986065000012</v>
      </c>
      <c r="BA46">
        <v>25656.728721999993</v>
      </c>
      <c r="BB46">
        <v>21345.929859999978</v>
      </c>
      <c r="BC46">
        <v>21708.158824999988</v>
      </c>
      <c r="BD46">
        <v>15605.152572000001</v>
      </c>
      <c r="BE46">
        <v>15771.667849000029</v>
      </c>
      <c r="BF46">
        <v>7670.0205039999883</v>
      </c>
      <c r="BG46">
        <v>193604.897558</v>
      </c>
    </row>
    <row r="47" spans="2:59" x14ac:dyDescent="0.25">
      <c r="C47" s="681"/>
      <c r="D47" s="681"/>
      <c r="E47" s="681"/>
      <c r="F47" s="1267"/>
    </row>
    <row r="48" spans="2:59" x14ac:dyDescent="0.25">
      <c r="C48" s="681"/>
      <c r="D48" s="681"/>
      <c r="E48" s="681"/>
      <c r="F48" s="1267"/>
      <c r="AU48" s="681">
        <f t="shared" ref="AU48:BG48" si="24">+SUM(AU35:AU46)</f>
        <v>148132.20544200597</v>
      </c>
      <c r="AV48" s="681">
        <f t="shared" si="24"/>
        <v>157057.02194098677</v>
      </c>
      <c r="AW48" s="681">
        <f t="shared" si="24"/>
        <v>158406.85351999805</v>
      </c>
      <c r="AX48" s="681">
        <f t="shared" si="24"/>
        <v>165520.11813299233</v>
      </c>
      <c r="AY48" s="681">
        <f t="shared" si="24"/>
        <v>184673.90277700173</v>
      </c>
      <c r="AZ48" s="681">
        <f t="shared" si="24"/>
        <v>194597.26743199676</v>
      </c>
      <c r="BA48" s="681">
        <f t="shared" si="24"/>
        <v>206166.16683998815</v>
      </c>
      <c r="BB48" s="681">
        <f t="shared" si="24"/>
        <v>213216.25920886628</v>
      </c>
      <c r="BC48" s="681">
        <f t="shared" si="24"/>
        <v>214126.62644980688</v>
      </c>
      <c r="BD48" s="681">
        <f t="shared" si="24"/>
        <v>194295.3218262243</v>
      </c>
      <c r="BE48" s="681">
        <f t="shared" si="24"/>
        <v>204233.36679746164</v>
      </c>
      <c r="BF48" s="681">
        <f t="shared" si="24"/>
        <v>107729.94814076775</v>
      </c>
      <c r="BG48" s="681">
        <f t="shared" si="24"/>
        <v>2148155.0585080967</v>
      </c>
    </row>
    <row r="49" spans="3:21" x14ac:dyDescent="0.25">
      <c r="F49" s="1267"/>
    </row>
    <row r="50" spans="3:21" x14ac:dyDescent="0.25">
      <c r="F50" s="1267"/>
    </row>
    <row r="51" spans="3:21" x14ac:dyDescent="0.25">
      <c r="F51" s="1267"/>
    </row>
    <row r="52" spans="3:21" x14ac:dyDescent="0.25">
      <c r="F52" s="1267"/>
    </row>
    <row r="53" spans="3:21" x14ac:dyDescent="0.25">
      <c r="C53" s="1268"/>
      <c r="F53" s="1267"/>
    </row>
    <row r="54" spans="3:21" x14ac:dyDescent="0.25">
      <c r="F54" s="1267"/>
    </row>
    <row r="55" spans="3:21" x14ac:dyDescent="0.25">
      <c r="F55" s="1267"/>
    </row>
    <row r="56" spans="3:21" x14ac:dyDescent="0.25">
      <c r="F56" s="1267"/>
    </row>
    <row r="57" spans="3:21" x14ac:dyDescent="0.25">
      <c r="F57" s="1267"/>
    </row>
    <row r="58" spans="3:21" x14ac:dyDescent="0.25">
      <c r="F58" s="1267"/>
      <c r="T58" s="683" t="s">
        <v>1086</v>
      </c>
      <c r="U58" s="681">
        <v>141.04100000000003</v>
      </c>
    </row>
    <row r="59" spans="3:21" x14ac:dyDescent="0.25">
      <c r="F59" s="1267"/>
      <c r="T59" s="683" t="s">
        <v>1087</v>
      </c>
      <c r="U59" s="681">
        <v>148.08359999999999</v>
      </c>
    </row>
    <row r="60" spans="3:21" x14ac:dyDescent="0.25">
      <c r="T60" s="683" t="s">
        <v>1176</v>
      </c>
      <c r="U60" s="681">
        <v>157.0570219409868</v>
      </c>
    </row>
    <row r="61" spans="3:21" x14ac:dyDescent="0.25">
      <c r="T61" s="683" t="s">
        <v>1392</v>
      </c>
      <c r="U61" s="681">
        <v>158.40685351999804</v>
      </c>
    </row>
    <row r="62" spans="3:21" x14ac:dyDescent="0.25">
      <c r="T62" s="683" t="s">
        <v>1090</v>
      </c>
      <c r="U62" s="681">
        <v>165.52011813299228</v>
      </c>
    </row>
    <row r="63" spans="3:21" x14ac:dyDescent="0.25">
      <c r="T63" s="683" t="s">
        <v>1393</v>
      </c>
      <c r="U63" s="681">
        <v>184.67390277700176</v>
      </c>
    </row>
    <row r="64" spans="3:21" x14ac:dyDescent="0.25">
      <c r="T64" s="683" t="s">
        <v>1394</v>
      </c>
      <c r="U64" s="681">
        <v>194.59726743199673</v>
      </c>
    </row>
    <row r="65" spans="20:21" x14ac:dyDescent="0.25">
      <c r="T65" s="683" t="s">
        <v>1395</v>
      </c>
      <c r="U65" s="681">
        <v>206.16616683998814</v>
      </c>
    </row>
    <row r="66" spans="20:21" x14ac:dyDescent="0.25">
      <c r="T66" s="683" t="s">
        <v>7</v>
      </c>
      <c r="U66" s="681">
        <v>213.21625920886623</v>
      </c>
    </row>
    <row r="67" spans="20:21" x14ac:dyDescent="0.25">
      <c r="T67" s="683" t="s">
        <v>8</v>
      </c>
      <c r="U67" s="681">
        <v>214.12662644980693</v>
      </c>
    </row>
    <row r="68" spans="20:21" x14ac:dyDescent="0.25">
      <c r="T68" s="683" t="s">
        <v>76</v>
      </c>
      <c r="U68" s="681">
        <v>194.29532182621546</v>
      </c>
    </row>
    <row r="69" spans="20:21" x14ac:dyDescent="0.25">
      <c r="T69" s="683" t="s">
        <v>1419</v>
      </c>
      <c r="U69" s="681">
        <v>201.69665773166869</v>
      </c>
    </row>
    <row r="70" spans="20:21" x14ac:dyDescent="0.25">
      <c r="T70" s="683" t="s">
        <v>1093</v>
      </c>
      <c r="U70" s="681">
        <v>223.00825949358247</v>
      </c>
    </row>
  </sheetData>
  <mergeCells count="10">
    <mergeCell ref="B19:N19"/>
    <mergeCell ref="B21:K40"/>
    <mergeCell ref="B41:N42"/>
    <mergeCell ref="B1:N1"/>
    <mergeCell ref="B2:N2"/>
    <mergeCell ref="S2:W2"/>
    <mergeCell ref="AN2:AP2"/>
    <mergeCell ref="BF3:BG3"/>
    <mergeCell ref="BP15:CC15"/>
    <mergeCell ref="B18:N18"/>
  </mergeCells>
  <pageMargins left="0.70866141732283472" right="0.61071428571428577" top="0.74803149606299213" bottom="0.74803149606299213" header="0.31496062992125984" footer="0.31496062992125984"/>
  <pageSetup paperSize="9" scale="59" orientation="portrait"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C303B1-4C27-4AEF-AAA4-052E997F2E77}">
  <sheetPr>
    <tabColor theme="0"/>
    <pageSetUpPr fitToPage="1"/>
  </sheetPr>
  <dimension ref="A1:BD65"/>
  <sheetViews>
    <sheetView view="pageLayout" zoomScale="70" zoomScaleNormal="100" zoomScalePageLayoutView="70" workbookViewId="0">
      <selection activeCell="AB59" sqref="AB59"/>
    </sheetView>
  </sheetViews>
  <sheetFormatPr defaultColWidth="9.140625" defaultRowHeight="15" x14ac:dyDescent="0.25"/>
  <cols>
    <col min="1" max="1" width="3.42578125" style="713" customWidth="1"/>
    <col min="2" max="2" width="40.28515625" style="713" customWidth="1"/>
    <col min="3" max="4" width="9.7109375" style="713" customWidth="1"/>
    <col min="5" max="5" width="10.7109375" style="713" customWidth="1"/>
    <col min="6" max="11" width="9.7109375" style="713" customWidth="1"/>
    <col min="12" max="12" width="12.7109375" style="681" hidden="1" customWidth="1"/>
    <col min="13" max="13" width="11.28515625" style="681" hidden="1" customWidth="1"/>
    <col min="14" max="16" width="11.28515625" style="681" customWidth="1"/>
    <col min="17" max="17" width="22.5703125" style="681" customWidth="1"/>
    <col min="18" max="18" width="8.85546875" style="2193" customWidth="1"/>
    <col min="19" max="20" width="25.85546875" style="2193" customWidth="1"/>
    <col min="21" max="21" width="23.42578125" style="2193" customWidth="1"/>
    <col min="22" max="25" width="9.140625" style="2193" customWidth="1"/>
    <col min="26" max="26" width="14.42578125" style="2193" customWidth="1"/>
    <col min="27" max="38" width="8.5703125" style="2193" customWidth="1"/>
    <col min="39" max="39" width="8.85546875" style="2193" customWidth="1"/>
    <col min="40" max="41" width="9.42578125" style="2193" customWidth="1"/>
    <col min="42" max="42" width="10.85546875" style="2193" customWidth="1"/>
    <col min="43" max="46" width="10" style="2193" customWidth="1"/>
    <col min="47" max="50" width="9.140625" style="2193" customWidth="1"/>
    <col min="51" max="51" width="17.85546875" style="2193" customWidth="1"/>
    <col min="52" max="52" width="16.140625" style="2193" customWidth="1"/>
    <col min="53" max="53" width="1.140625" style="2193" customWidth="1"/>
    <col min="54" max="54" width="2.140625" style="2193" customWidth="1"/>
    <col min="55" max="56" width="1.42578125" style="2193" customWidth="1"/>
    <col min="57" max="67" width="9.140625" style="681" customWidth="1"/>
    <col min="68" max="16384" width="9.140625" style="681"/>
  </cols>
  <sheetData>
    <row r="1" spans="1:56" ht="15.75" thickBot="1" x14ac:dyDescent="0.3"/>
    <row r="2" spans="1:56" ht="26.25" customHeight="1" thickBot="1" x14ac:dyDescent="0.3">
      <c r="B2" s="3393" t="s">
        <v>1434</v>
      </c>
      <c r="C2" s="3394"/>
      <c r="D2" s="3394"/>
      <c r="E2" s="3394"/>
      <c r="F2" s="3394"/>
      <c r="G2" s="3394"/>
      <c r="H2" s="3394"/>
      <c r="I2" s="3394"/>
      <c r="J2" s="3394"/>
      <c r="K2" s="3394"/>
      <c r="L2" s="3394"/>
      <c r="M2" s="3394"/>
      <c r="N2" s="3394"/>
      <c r="O2" s="3394"/>
      <c r="P2" s="3394"/>
      <c r="Q2" s="3395"/>
      <c r="R2" s="2194"/>
      <c r="S2" s="2194"/>
      <c r="T2" s="2194"/>
      <c r="Z2" s="3396" t="s">
        <v>110</v>
      </c>
      <c r="AA2" s="3397"/>
      <c r="AB2" s="3397"/>
      <c r="AC2" s="3397"/>
      <c r="AD2" s="3397"/>
      <c r="AE2" s="3397"/>
      <c r="AF2" s="3397"/>
      <c r="AG2" s="3397"/>
      <c r="AH2" s="3397"/>
      <c r="AI2" s="3397"/>
      <c r="AJ2" s="3397"/>
      <c r="AK2" s="3397"/>
      <c r="AL2" s="3397"/>
      <c r="AM2" s="3397"/>
      <c r="AN2" s="3397"/>
      <c r="AO2" s="3397"/>
      <c r="AP2" s="3397"/>
      <c r="AQ2" s="3397"/>
      <c r="AR2" s="2195"/>
      <c r="AS2" s="2195"/>
    </row>
    <row r="3" spans="1:56" ht="19.5" customHeight="1" x14ac:dyDescent="0.25">
      <c r="B3" s="3398" t="s">
        <v>1435</v>
      </c>
      <c r="C3" s="3399"/>
      <c r="D3" s="3399"/>
      <c r="E3" s="3399"/>
      <c r="F3" s="3399"/>
      <c r="G3" s="3399"/>
      <c r="H3" s="3399"/>
      <c r="I3" s="3399"/>
      <c r="J3" s="3399"/>
      <c r="K3" s="3399"/>
      <c r="L3" s="3399"/>
      <c r="M3" s="3399"/>
      <c r="N3" s="3399"/>
      <c r="O3" s="3399"/>
      <c r="P3" s="3399"/>
      <c r="Q3" s="3400"/>
      <c r="R3" s="2196"/>
      <c r="S3" s="2197"/>
      <c r="T3" s="2197"/>
      <c r="U3" s="2198"/>
      <c r="V3" s="2198"/>
      <c r="W3" s="2198"/>
      <c r="X3" s="2198"/>
      <c r="Y3" s="2199"/>
      <c r="Z3" s="3401" t="s">
        <v>1436</v>
      </c>
      <c r="AA3" s="3402"/>
      <c r="AB3" s="3402"/>
      <c r="AC3" s="3402"/>
      <c r="AD3" s="3402"/>
      <c r="AE3" s="3402"/>
      <c r="AF3" s="3402"/>
      <c r="AG3" s="3402"/>
      <c r="AH3" s="3402"/>
      <c r="AI3" s="3402"/>
      <c r="AJ3" s="3402"/>
      <c r="AK3" s="3402"/>
      <c r="AL3" s="3402"/>
      <c r="AM3" s="3402"/>
      <c r="AN3" s="3402"/>
      <c r="AO3" s="3402"/>
      <c r="AP3" s="3402"/>
      <c r="AQ3" s="3402"/>
      <c r="AR3" s="2200"/>
      <c r="AS3" s="2200"/>
    </row>
    <row r="4" spans="1:56" ht="54" customHeight="1" x14ac:dyDescent="0.25">
      <c r="B4" s="721" t="s">
        <v>1150</v>
      </c>
      <c r="C4" s="1554" t="s">
        <v>1090</v>
      </c>
      <c r="D4" s="1554" t="s">
        <v>1393</v>
      </c>
      <c r="E4" s="1554" t="s">
        <v>1394</v>
      </c>
      <c r="F4" s="1554" t="s">
        <v>1395</v>
      </c>
      <c r="G4" s="1554" t="s">
        <v>7</v>
      </c>
      <c r="H4" s="1554" t="s">
        <v>8</v>
      </c>
      <c r="I4" s="1555" t="s">
        <v>76</v>
      </c>
      <c r="J4" s="1555" t="s">
        <v>77</v>
      </c>
      <c r="K4" s="1555" t="s">
        <v>11</v>
      </c>
      <c r="L4" s="1555"/>
      <c r="M4" s="1555"/>
      <c r="N4" s="1555" t="s">
        <v>2319</v>
      </c>
      <c r="O4" s="1555" t="s">
        <v>2309</v>
      </c>
      <c r="P4" s="1555" t="s">
        <v>2479</v>
      </c>
      <c r="Q4" s="1556" t="s">
        <v>2546</v>
      </c>
      <c r="R4" s="2201"/>
      <c r="S4" s="2201"/>
      <c r="T4" s="2201"/>
      <c r="Y4" s="2202"/>
      <c r="Z4" s="2203" t="s">
        <v>1150</v>
      </c>
      <c r="AA4" s="2204" t="s">
        <v>1084</v>
      </c>
      <c r="AB4" s="2204" t="s">
        <v>1085</v>
      </c>
      <c r="AC4" s="2204" t="s">
        <v>1086</v>
      </c>
      <c r="AD4" s="2204" t="s">
        <v>1087</v>
      </c>
      <c r="AE4" s="2204" t="s">
        <v>1176</v>
      </c>
      <c r="AF4" s="2204" t="s">
        <v>1392</v>
      </c>
      <c r="AG4" s="2204" t="s">
        <v>1090</v>
      </c>
      <c r="AH4" s="2205" t="s">
        <v>1393</v>
      </c>
      <c r="AI4" s="2204" t="s">
        <v>1394</v>
      </c>
      <c r="AJ4" s="2204" t="s">
        <v>1395</v>
      </c>
      <c r="AK4" s="2204" t="s">
        <v>7</v>
      </c>
      <c r="AL4" s="2204" t="s">
        <v>8</v>
      </c>
      <c r="AM4" s="2204" t="s">
        <v>9</v>
      </c>
      <c r="AN4" s="2206" t="s">
        <v>1419</v>
      </c>
      <c r="AO4" s="2206" t="s">
        <v>1093</v>
      </c>
      <c r="AP4" s="2206" t="s">
        <v>78</v>
      </c>
      <c r="AQ4" s="2206" t="s">
        <v>2384</v>
      </c>
      <c r="AR4" s="2206" t="s">
        <v>2479</v>
      </c>
      <c r="AS4" s="2207"/>
      <c r="AT4" s="2207"/>
      <c r="AY4" s="2208" t="s">
        <v>1426</v>
      </c>
      <c r="AZ4" s="2193" t="s">
        <v>81</v>
      </c>
    </row>
    <row r="5" spans="1:56" s="2192" customFormat="1" ht="18" customHeight="1" x14ac:dyDescent="0.25">
      <c r="A5" s="2363"/>
      <c r="B5" s="2361" t="s">
        <v>112</v>
      </c>
      <c r="C5" s="2191">
        <v>0.10473120951748149</v>
      </c>
      <c r="D5" s="2191">
        <v>9.0172814197674533E-2</v>
      </c>
      <c r="E5" s="2191">
        <v>0.10115504729535862</v>
      </c>
      <c r="F5" s="2191">
        <v>8.0229263872630741E-2</v>
      </c>
      <c r="G5" s="2191">
        <v>6.7045681511521682E-2</v>
      </c>
      <c r="H5" s="2191">
        <v>5.7132641281068874E-2</v>
      </c>
      <c r="I5" s="2191">
        <v>4.6663754100751298E-2</v>
      </c>
      <c r="J5" s="2191">
        <v>2.5221390323310944E-2</v>
      </c>
      <c r="K5" s="2191">
        <v>8.8490223903447962E-3</v>
      </c>
      <c r="L5" s="2191"/>
      <c r="M5" s="2191"/>
      <c r="N5" s="2191">
        <v>4.0700695629300725E-2</v>
      </c>
      <c r="O5" s="2191">
        <v>5.5871431829388918E-2</v>
      </c>
      <c r="P5" s="1803">
        <v>5.9019376432993154E-2</v>
      </c>
      <c r="Q5" s="1803">
        <v>5.3893854195528945E-2</v>
      </c>
      <c r="R5" s="2209"/>
      <c r="S5" s="2209"/>
      <c r="T5" s="2209"/>
      <c r="U5" s="2210"/>
      <c r="V5" s="2193"/>
      <c r="W5" s="2193"/>
      <c r="X5" s="2193"/>
      <c r="Y5" s="2211" t="s">
        <v>112</v>
      </c>
      <c r="Z5" s="2212" t="s">
        <v>112</v>
      </c>
      <c r="AA5" s="2213">
        <v>12.191117883999999</v>
      </c>
      <c r="AB5" s="2213">
        <v>13.135399999999999</v>
      </c>
      <c r="AC5" s="2213">
        <v>14.332000000000001</v>
      </c>
      <c r="AD5" s="2214">
        <v>15.349658957000022</v>
      </c>
      <c r="AE5" s="2214">
        <v>15.600640683999595</v>
      </c>
      <c r="AF5" s="2214">
        <v>16.29364882599992</v>
      </c>
      <c r="AG5" s="2214">
        <v>18.000102374999983</v>
      </c>
      <c r="AH5" s="2214">
        <v>19.623222261999977</v>
      </c>
      <c r="AI5" s="2214">
        <v>21.60821023799992</v>
      </c>
      <c r="AJ5" s="2215">
        <v>23.341821038999697</v>
      </c>
      <c r="AK5" s="2215">
        <v>24.906789338279406</v>
      </c>
      <c r="AL5" s="2215">
        <v>26.329779999006472</v>
      </c>
      <c r="AM5" s="2215">
        <v>27.558426378406992</v>
      </c>
      <c r="AN5" s="2216">
        <v>28.253488206793023</v>
      </c>
      <c r="AO5" s="2216">
        <v>28.503503956540275</v>
      </c>
      <c r="AP5" s="2216">
        <v>29.663616395443992</v>
      </c>
      <c r="AQ5" s="2216">
        <v>31.320965116695181</v>
      </c>
      <c r="AR5" s="2216">
        <v>33.169508947162058</v>
      </c>
      <c r="AS5" s="2217">
        <f>AR5/$AR$17</f>
        <v>0.13728545826000238</v>
      </c>
      <c r="AT5" s="2217">
        <f>(AR5/AH5)^0.1-1</f>
        <v>5.3893854195528945E-2</v>
      </c>
      <c r="AU5" s="2193"/>
      <c r="AV5" s="2218">
        <f>AR5/AQ5-1</f>
        <v>5.9019376432993154E-2</v>
      </c>
      <c r="AW5" s="2193"/>
      <c r="AX5" s="2193"/>
      <c r="AY5" s="2219" t="s">
        <v>112</v>
      </c>
      <c r="AZ5" s="2193">
        <v>13.254269800358092</v>
      </c>
      <c r="BA5" s="2193"/>
      <c r="BB5" s="2193"/>
      <c r="BC5" s="2193"/>
      <c r="BD5" s="2193"/>
    </row>
    <row r="6" spans="1:56" ht="18" customHeight="1" x14ac:dyDescent="0.25">
      <c r="A6" s="2363"/>
      <c r="B6" s="2361" t="s">
        <v>1045</v>
      </c>
      <c r="C6" s="2191">
        <v>0.11368037354366956</v>
      </c>
      <c r="D6" s="2191">
        <v>0.14527758817759451</v>
      </c>
      <c r="E6" s="2191">
        <v>8.7807732861908905E-2</v>
      </c>
      <c r="F6" s="2191">
        <v>0.10139074347769306</v>
      </c>
      <c r="G6" s="2191">
        <v>8.0610417079884478E-2</v>
      </c>
      <c r="H6" s="2191">
        <v>5.9788208097586892E-2</v>
      </c>
      <c r="I6" s="2191">
        <v>-6.6937848304777225E-2</v>
      </c>
      <c r="J6" s="2191">
        <v>0.10296985985666773</v>
      </c>
      <c r="K6" s="2191">
        <v>0.13378166879598186</v>
      </c>
      <c r="L6" s="2191"/>
      <c r="M6" s="2191"/>
      <c r="N6" s="2191">
        <v>6.4140597372654609E-2</v>
      </c>
      <c r="O6" s="2191">
        <v>7.4831330377357785E-2</v>
      </c>
      <c r="P6" s="1803">
        <v>6.4533954124553761E-2</v>
      </c>
      <c r="Q6" s="1803">
        <v>6.9026397343547208E-2</v>
      </c>
      <c r="R6" s="2209"/>
      <c r="S6" s="2209"/>
      <c r="T6" s="2209"/>
      <c r="U6" s="2210"/>
      <c r="Y6" s="2211" t="s">
        <v>1045</v>
      </c>
      <c r="Z6" s="2212" t="s">
        <v>1045</v>
      </c>
      <c r="AA6" s="2213">
        <v>11.257772000000003</v>
      </c>
      <c r="AB6" s="2213">
        <v>12.818299999999999</v>
      </c>
      <c r="AC6" s="2213">
        <v>14.192</v>
      </c>
      <c r="AD6" s="2214">
        <v>14.992410169999541</v>
      </c>
      <c r="AE6" s="2214">
        <v>15.743901039998997</v>
      </c>
      <c r="AF6" s="2214">
        <v>17.128255909999201</v>
      </c>
      <c r="AG6" s="2214">
        <v>19.075402439999475</v>
      </c>
      <c r="AH6" s="2214">
        <v>21.8466308999996</v>
      </c>
      <c r="AI6" s="2214">
        <v>23.764934029999491</v>
      </c>
      <c r="AJ6" s="2215">
        <v>26.174478359999469</v>
      </c>
      <c r="AK6" s="2215">
        <v>28.284413977447436</v>
      </c>
      <c r="AL6" s="2215">
        <v>29.975488406249358</v>
      </c>
      <c r="AM6" s="2215">
        <v>27.968993710450231</v>
      </c>
      <c r="AN6" s="2216">
        <v>30.848957073147311</v>
      </c>
      <c r="AO6" s="2216">
        <v>34.975982031008563</v>
      </c>
      <c r="AP6" s="2216">
        <v>37.219362412172686</v>
      </c>
      <c r="AQ6" s="2216">
        <v>40.004536817272594</v>
      </c>
      <c r="AR6" s="2216">
        <v>42.586187761012482</v>
      </c>
      <c r="AS6" s="2217">
        <f t="shared" ref="AS6:AS16" si="0">AR6/$AR$17</f>
        <v>0.176260200644825</v>
      </c>
      <c r="AT6" s="2217">
        <f t="shared" ref="AT6:AT16" si="1">(AR6/AH6)^0.1-1</f>
        <v>6.9026397343547208E-2</v>
      </c>
      <c r="AV6" s="2218">
        <f>AR6/AQ6-1</f>
        <v>6.4533954124553761E-2</v>
      </c>
      <c r="AY6" s="2219" t="s">
        <v>1046</v>
      </c>
      <c r="AZ6" s="2193">
        <v>6.4338842343735463</v>
      </c>
    </row>
    <row r="7" spans="1:56" s="2192" customFormat="1" ht="18" customHeight="1" x14ac:dyDescent="0.25">
      <c r="A7" s="2363"/>
      <c r="B7" s="2361" t="s">
        <v>1046</v>
      </c>
      <c r="C7" s="2191">
        <v>-1.9740817295300306E-2</v>
      </c>
      <c r="D7" s="2191">
        <v>0.19751010733485086</v>
      </c>
      <c r="E7" s="2191">
        <v>-2.2651766467987056E-3</v>
      </c>
      <c r="F7" s="2191">
        <v>-2.6597646385438378E-2</v>
      </c>
      <c r="G7" s="2191">
        <v>9.641264214862022E-2</v>
      </c>
      <c r="H7" s="2191">
        <v>9.6627910764570668E-3</v>
      </c>
      <c r="I7" s="2191">
        <v>-1.1734365435824956E-2</v>
      </c>
      <c r="J7" s="2191">
        <v>-6.0620069562209111E-2</v>
      </c>
      <c r="K7" s="2191">
        <v>-8.2107610331152547E-2</v>
      </c>
      <c r="L7" s="2191"/>
      <c r="M7" s="2191"/>
      <c r="N7" s="2191">
        <v>0.13604484960924068</v>
      </c>
      <c r="O7" s="2191">
        <v>-5.7141618488342302E-2</v>
      </c>
      <c r="P7" s="1803">
        <v>-9.9987711645462274E-2</v>
      </c>
      <c r="Q7" s="1803">
        <v>-1.230184492950126E-2</v>
      </c>
      <c r="R7" s="2209"/>
      <c r="S7" s="2209"/>
      <c r="T7" s="2209"/>
      <c r="U7" s="2210"/>
      <c r="V7" s="2193"/>
      <c r="W7" s="2193"/>
      <c r="X7" s="2193"/>
      <c r="Y7" s="2211" t="s">
        <v>1046</v>
      </c>
      <c r="Z7" s="2212" t="s">
        <v>1046</v>
      </c>
      <c r="AA7" s="2213">
        <v>13.910725299999998</v>
      </c>
      <c r="AB7" s="2213">
        <v>10.1342</v>
      </c>
      <c r="AC7" s="2213">
        <v>10.676</v>
      </c>
      <c r="AD7" s="2214">
        <v>11.221512170000006</v>
      </c>
      <c r="AE7" s="2214">
        <v>12.289368529999996</v>
      </c>
      <c r="AF7" s="2214">
        <v>11.305202649999996</v>
      </c>
      <c r="AG7" s="2214">
        <v>11.082028710000001</v>
      </c>
      <c r="AH7" s="2214">
        <v>13.270841390000001</v>
      </c>
      <c r="AI7" s="2214">
        <v>13.240780590000004</v>
      </c>
      <c r="AJ7" s="2215">
        <v>12.888606990000007</v>
      </c>
      <c r="AK7" s="2215">
        <v>14.131231643521081</v>
      </c>
      <c r="AL7" s="2215">
        <v>14.267778782545445</v>
      </c>
      <c r="AM7" s="2215">
        <v>14.100355452353547</v>
      </c>
      <c r="AN7" s="2216">
        <v>13.24559092398</v>
      </c>
      <c r="AO7" s="2216">
        <v>12.158027105787999</v>
      </c>
      <c r="AP7" s="2216">
        <v>13.81206407494</v>
      </c>
      <c r="AQ7" s="2216">
        <v>13.028440831000001</v>
      </c>
      <c r="AR7" s="2216">
        <v>11.725756846000007</v>
      </c>
      <c r="AS7" s="2217">
        <f t="shared" si="0"/>
        <v>4.8531797821088976E-2</v>
      </c>
      <c r="AT7" s="2217">
        <f t="shared" si="1"/>
        <v>-1.230184492950126E-2</v>
      </c>
      <c r="AU7" s="2193"/>
      <c r="AV7" s="2218">
        <f t="shared" ref="AV7:AV17" si="2">AR7/AQ7-1</f>
        <v>-9.9987711645462274E-2</v>
      </c>
      <c r="AW7" s="2193"/>
      <c r="AX7" s="2193"/>
      <c r="AY7" s="2219" t="s">
        <v>1045</v>
      </c>
      <c r="AZ7" s="2193">
        <v>12.119249321185782</v>
      </c>
      <c r="BA7" s="2193"/>
      <c r="BB7" s="2193"/>
      <c r="BC7" s="2193"/>
      <c r="BD7" s="2193"/>
    </row>
    <row r="8" spans="1:56" ht="18" customHeight="1" x14ac:dyDescent="0.25">
      <c r="A8" s="2363"/>
      <c r="B8" s="2361" t="s">
        <v>1049</v>
      </c>
      <c r="C8" s="2191">
        <v>3.9623892049175602E-2</v>
      </c>
      <c r="D8" s="2191">
        <v>9.4105555891949466E-2</v>
      </c>
      <c r="E8" s="2191">
        <v>0.11745150210744071</v>
      </c>
      <c r="F8" s="2191">
        <v>9.0793636416839796E-2</v>
      </c>
      <c r="G8" s="2191">
        <v>8.7387877861197394E-2</v>
      </c>
      <c r="H8" s="2191">
        <v>-3.6551026486947191E-2</v>
      </c>
      <c r="I8" s="2191">
        <v>-0.53770024725302368</v>
      </c>
      <c r="J8" s="2191">
        <v>0.35432513341848737</v>
      </c>
      <c r="K8" s="2191">
        <v>0.4708765073608161</v>
      </c>
      <c r="L8" s="2191"/>
      <c r="M8" s="2191"/>
      <c r="N8" s="2191">
        <v>0.11959438317378555</v>
      </c>
      <c r="O8" s="2191">
        <v>8.9430219737778108E-2</v>
      </c>
      <c r="P8" s="1803">
        <v>1.9681091930090044E-2</v>
      </c>
      <c r="Q8" s="1803">
        <v>3.8755123981717876E-2</v>
      </c>
      <c r="R8" s="2209"/>
      <c r="S8" s="2209"/>
      <c r="T8" s="2209"/>
      <c r="U8" s="2210"/>
      <c r="Y8" s="2211" t="s">
        <v>1049</v>
      </c>
      <c r="Z8" s="2212" t="s">
        <v>1049</v>
      </c>
      <c r="AA8" s="2213">
        <v>4.4232005499999998</v>
      </c>
      <c r="AB8" s="2213">
        <v>4.6273</v>
      </c>
      <c r="AC8" s="2213">
        <v>5.0789999999999997</v>
      </c>
      <c r="AD8" s="2214">
        <v>5.53798703</v>
      </c>
      <c r="AE8" s="2214">
        <v>5.2724551500000016</v>
      </c>
      <c r="AF8" s="2214">
        <v>5.506739210000001</v>
      </c>
      <c r="AG8" s="2214">
        <v>5.7249376500000038</v>
      </c>
      <c r="AH8" s="2214">
        <v>6.2636860900000046</v>
      </c>
      <c r="AI8" s="2214">
        <v>6.9993654299999877</v>
      </c>
      <c r="AJ8" s="2215">
        <v>7.6348632700000039</v>
      </c>
      <c r="AK8" s="2215">
        <v>8.3020577689257067</v>
      </c>
      <c r="AL8" s="2215">
        <v>7.9986090355175374</v>
      </c>
      <c r="AM8" s="2215">
        <v>3.6977549794394879</v>
      </c>
      <c r="AN8" s="2216">
        <v>5.0079625058782602</v>
      </c>
      <c r="AO8" s="2216">
        <v>7.3660943996401356</v>
      </c>
      <c r="AP8" s="2216">
        <v>8.2470379157649738</v>
      </c>
      <c r="AQ8" s="2216">
        <v>8.984572328757622</v>
      </c>
      <c r="AR8" s="2216">
        <v>9.1613985227124441</v>
      </c>
      <c r="AS8" s="2217">
        <f t="shared" si="0"/>
        <v>3.7918161420375691E-2</v>
      </c>
      <c r="AT8" s="2217">
        <f t="shared" si="1"/>
        <v>3.8755123981717876E-2</v>
      </c>
      <c r="AV8" s="2218">
        <f t="shared" si="2"/>
        <v>1.9681091930090044E-2</v>
      </c>
      <c r="AY8" s="2219" t="s">
        <v>1049</v>
      </c>
      <c r="AZ8" s="2193">
        <v>1.1893636557972944</v>
      </c>
    </row>
    <row r="9" spans="1:56" ht="18" customHeight="1" x14ac:dyDescent="0.25">
      <c r="A9" s="2363"/>
      <c r="B9" s="2361" t="s">
        <v>1059</v>
      </c>
      <c r="C9" s="2191">
        <v>-1.089383882026973E-2</v>
      </c>
      <c r="D9" s="2191">
        <v>-3.6746430860958079E-2</v>
      </c>
      <c r="E9" s="2191">
        <v>-0.20940946339768118</v>
      </c>
      <c r="F9" s="2191">
        <v>-0.28752064743895267</v>
      </c>
      <c r="G9" s="2191">
        <v>-0.10029856921319324</v>
      </c>
      <c r="H9" s="2191">
        <v>-0.30716767811035006</v>
      </c>
      <c r="I9" s="2191">
        <v>-0.24989449692843069</v>
      </c>
      <c r="J9" s="2191">
        <v>-0.16936696356391323</v>
      </c>
      <c r="K9" s="2191">
        <v>-0.67216421782641622</v>
      </c>
      <c r="L9" s="2191"/>
      <c r="M9" s="2191"/>
      <c r="N9" s="2191">
        <v>-2.1457646053948877E-2</v>
      </c>
      <c r="O9" s="2191">
        <v>-0.14889172626487024</v>
      </c>
      <c r="P9" s="1803">
        <v>0.12728128837432284</v>
      </c>
      <c r="Q9" s="1803">
        <v>-0.23647456522654353</v>
      </c>
      <c r="R9" s="2209"/>
      <c r="S9" s="2209"/>
      <c r="T9" s="2209"/>
      <c r="U9" s="2210"/>
      <c r="Y9" s="2211" t="s">
        <v>1059</v>
      </c>
      <c r="Z9" s="2212" t="s">
        <v>1059</v>
      </c>
      <c r="AA9" s="2213">
        <v>9.3028690000000012</v>
      </c>
      <c r="AB9" s="2213">
        <v>9.3041</v>
      </c>
      <c r="AC9" s="2213">
        <v>8.9280000000000008</v>
      </c>
      <c r="AD9" s="2214">
        <v>8.2285972699999999</v>
      </c>
      <c r="AE9" s="2214">
        <v>7.5015033499998598</v>
      </c>
      <c r="AF9" s="2214">
        <v>7.1647700399999499</v>
      </c>
      <c r="AG9" s="2214">
        <v>7.0867181899998926</v>
      </c>
      <c r="AH9" s="2214">
        <v>6.8263065899999678</v>
      </c>
      <c r="AI9" s="2214">
        <v>5.3968133900000197</v>
      </c>
      <c r="AJ9" s="2215">
        <v>3.8451181100000049</v>
      </c>
      <c r="AK9" s="2215">
        <v>3.4594582651112664</v>
      </c>
      <c r="AL9" s="2215">
        <v>2.3968245022973789</v>
      </c>
      <c r="AM9" s="2215">
        <v>1.797871249070039</v>
      </c>
      <c r="AN9" s="2216">
        <v>1.4933712547361866</v>
      </c>
      <c r="AO9" s="2216">
        <v>0.48958053337198393</v>
      </c>
      <c r="AP9" s="2216">
        <v>0.47907528757198442</v>
      </c>
      <c r="AQ9" s="2216">
        <v>0.40774494099455255</v>
      </c>
      <c r="AR9" s="2216">
        <v>0.45964324241245147</v>
      </c>
      <c r="AS9" s="2217">
        <f t="shared" si="0"/>
        <v>1.902419878184712E-3</v>
      </c>
      <c r="AT9" s="2217">
        <f t="shared" si="1"/>
        <v>-0.23647456522654353</v>
      </c>
      <c r="AV9" s="2218">
        <f t="shared" si="2"/>
        <v>0.12728128837432284</v>
      </c>
      <c r="AY9" s="2219" t="s">
        <v>1059</v>
      </c>
      <c r="AZ9" s="2193">
        <v>0.93103845522723705</v>
      </c>
    </row>
    <row r="10" spans="1:56" ht="18" customHeight="1" x14ac:dyDescent="0.25">
      <c r="A10" s="2363"/>
      <c r="B10" s="2361" t="s">
        <v>1050</v>
      </c>
      <c r="C10" s="2191">
        <v>1.5392568958707331E-2</v>
      </c>
      <c r="D10" s="2191">
        <v>7.5354893726093275E-2</v>
      </c>
      <c r="E10" s="2191">
        <v>1.8480286136477897E-2</v>
      </c>
      <c r="F10" s="2191">
        <v>6.6382912136499828E-2</v>
      </c>
      <c r="G10" s="2191">
        <v>3.027764172544023E-2</v>
      </c>
      <c r="H10" s="2191">
        <v>-1.1087716285484328E-2</v>
      </c>
      <c r="I10" s="2191">
        <v>-0.11972208745016943</v>
      </c>
      <c r="J10" s="2191">
        <v>5.4268234142378802E-2</v>
      </c>
      <c r="K10" s="2191">
        <v>0.12052255561354275</v>
      </c>
      <c r="L10" s="2191"/>
      <c r="M10" s="2191"/>
      <c r="N10" s="2191">
        <v>4.3404453770299938E-2</v>
      </c>
      <c r="O10" s="2191">
        <v>1.9886272152046525E-2</v>
      </c>
      <c r="P10" s="1803">
        <v>3.6061433201667548E-2</v>
      </c>
      <c r="Q10" s="1803">
        <v>2.4084827962119748E-2</v>
      </c>
      <c r="R10" s="2209"/>
      <c r="S10" s="2209"/>
      <c r="T10" s="2209"/>
      <c r="U10" s="2210"/>
      <c r="Y10" s="2211" t="s">
        <v>1050</v>
      </c>
      <c r="Z10" s="2212" t="s">
        <v>1050</v>
      </c>
      <c r="AA10" s="2213">
        <v>51.710357000000002</v>
      </c>
      <c r="AB10" s="2213">
        <v>56.242400000000004</v>
      </c>
      <c r="AC10" s="2213">
        <v>60.070999999999998</v>
      </c>
      <c r="AD10" s="2214">
        <v>64.749976630006572</v>
      </c>
      <c r="AE10" s="2214">
        <v>69.08004892998855</v>
      </c>
      <c r="AF10" s="2214">
        <v>68.363923709999085</v>
      </c>
      <c r="AG10" s="2214">
        <v>69.416220119993056</v>
      </c>
      <c r="AH10" s="2214">
        <v>74.647072010002233</v>
      </c>
      <c r="AI10" s="2214">
        <v>76.02657125999734</v>
      </c>
      <c r="AJ10" s="2215">
        <v>81.073436459989082</v>
      </c>
      <c r="AK10" s="2215">
        <v>83.528148922574871</v>
      </c>
      <c r="AL10" s="2215">
        <v>82.602012505469673</v>
      </c>
      <c r="AM10" s="2215">
        <v>72.712727140729839</v>
      </c>
      <c r="AN10" s="2216">
        <v>76.658718442333864</v>
      </c>
      <c r="AO10" s="2216">
        <v>85.897823099062961</v>
      </c>
      <c r="AP10" s="2216">
        <v>89.626171190735647</v>
      </c>
      <c r="AQ10" s="2216">
        <v>91.408501622980523</v>
      </c>
      <c r="AR10" s="2216">
        <v>94.70482319832216</v>
      </c>
      <c r="AS10" s="2217">
        <f t="shared" si="0"/>
        <v>0.39197430003939088</v>
      </c>
      <c r="AT10" s="2217">
        <f t="shared" si="1"/>
        <v>2.4084827962119748E-2</v>
      </c>
      <c r="AV10" s="2218">
        <f t="shared" si="2"/>
        <v>3.6061433201667548E-2</v>
      </c>
      <c r="AY10" s="2219" t="s">
        <v>1050</v>
      </c>
      <c r="AZ10" s="2193">
        <v>30.880959755589824</v>
      </c>
    </row>
    <row r="11" spans="1:56" ht="18" customHeight="1" x14ac:dyDescent="0.25">
      <c r="A11" s="2363"/>
      <c r="B11" s="2361" t="s">
        <v>1051</v>
      </c>
      <c r="C11" s="2191">
        <v>-5.4496993579408848E-2</v>
      </c>
      <c r="D11" s="2191">
        <v>0.11455871097970416</v>
      </c>
      <c r="E11" s="2191">
        <v>0.10286433884941948</v>
      </c>
      <c r="F11" s="2191">
        <v>0.16660513891785422</v>
      </c>
      <c r="G11" s="2191">
        <v>0.14162409805764886</v>
      </c>
      <c r="H11" s="2191">
        <v>4.9887396721279176E-2</v>
      </c>
      <c r="I11" s="2191">
        <v>0.36200198188150057</v>
      </c>
      <c r="J11" s="2191">
        <v>0.189964814775335</v>
      </c>
      <c r="K11" s="2191">
        <v>-0.28752055318959735</v>
      </c>
      <c r="L11" s="2191"/>
      <c r="M11" s="2191"/>
      <c r="N11" s="2191">
        <v>7.8557264988254327E-2</v>
      </c>
      <c r="O11" s="2191">
        <v>7.1986461584492734E-2</v>
      </c>
      <c r="P11" s="1803">
        <v>0.20419237297398718</v>
      </c>
      <c r="Q11" s="1803">
        <v>9.504619651481172E-2</v>
      </c>
      <c r="R11" s="2209"/>
      <c r="S11" s="2209"/>
      <c r="T11" s="2209"/>
      <c r="U11" s="2210"/>
      <c r="Y11" s="2211" t="s">
        <v>1051</v>
      </c>
      <c r="Z11" s="2212" t="s">
        <v>1051</v>
      </c>
      <c r="AA11" s="2213">
        <v>0.55225700000000011</v>
      </c>
      <c r="AB11" s="2213">
        <v>0.45739999999999997</v>
      </c>
      <c r="AC11" s="2213">
        <v>0.45539999999999997</v>
      </c>
      <c r="AD11" s="2214">
        <v>0.41477875000000064</v>
      </c>
      <c r="AE11" s="2214">
        <v>0.39854502000000147</v>
      </c>
      <c r="AF11" s="2214">
        <v>0.38631654000000004</v>
      </c>
      <c r="AG11" s="2214">
        <v>0.3652634500000006</v>
      </c>
      <c r="AH11" s="2214">
        <v>0.40710756000000026</v>
      </c>
      <c r="AI11" s="2214">
        <v>0.44898441000000061</v>
      </c>
      <c r="AJ11" s="2215">
        <v>0.52378752000000151</v>
      </c>
      <c r="AK11" s="2215">
        <v>0.59796845509385443</v>
      </c>
      <c r="AL11" s="2215">
        <v>0.62779954463993193</v>
      </c>
      <c r="AM11" s="2215">
        <v>0.85506422402389093</v>
      </c>
      <c r="AN11" s="2216">
        <v>1.0174963409616049</v>
      </c>
      <c r="AO11" s="2216">
        <v>0.72494523013993306</v>
      </c>
      <c r="AP11" s="2216">
        <v>0.78189494468600684</v>
      </c>
      <c r="AQ11" s="2216">
        <v>0.83818079508475518</v>
      </c>
      <c r="AR11" s="2216">
        <v>1.0093309206143346</v>
      </c>
      <c r="AS11" s="2217">
        <f t="shared" si="0"/>
        <v>4.177525153997933E-3</v>
      </c>
      <c r="AT11" s="2217">
        <f t="shared" si="1"/>
        <v>9.504619651481172E-2</v>
      </c>
      <c r="AV11" s="2218">
        <f t="shared" si="2"/>
        <v>0.20419237297398718</v>
      </c>
      <c r="AY11" s="2219" t="s">
        <v>1051</v>
      </c>
      <c r="AZ11" s="2193">
        <v>0.35069845906996605</v>
      </c>
    </row>
    <row r="12" spans="1:56" s="2192" customFormat="1" ht="18" customHeight="1" x14ac:dyDescent="0.25">
      <c r="A12" s="2363"/>
      <c r="B12" s="2361" t="s">
        <v>1066</v>
      </c>
      <c r="C12" s="2191">
        <v>1.4241028832500113E-3</v>
      </c>
      <c r="D12" s="2191">
        <v>7.889639922301761E-2</v>
      </c>
      <c r="E12" s="2191">
        <v>-2.8308152817329124E-2</v>
      </c>
      <c r="F12" s="2191">
        <v>0.11925291231497281</v>
      </c>
      <c r="G12" s="2191">
        <v>-5.5598811353035793E-2</v>
      </c>
      <c r="H12" s="2191">
        <v>4.5105313694219218E-2</v>
      </c>
      <c r="I12" s="2191">
        <v>6.8845210508664323E-2</v>
      </c>
      <c r="J12" s="2191">
        <v>0.10813068070848431</v>
      </c>
      <c r="K12" s="2191">
        <v>-0.176384881679711</v>
      </c>
      <c r="L12" s="2191"/>
      <c r="M12" s="2191"/>
      <c r="N12" s="2191">
        <v>9.2983296117342032E-2</v>
      </c>
      <c r="O12" s="2191">
        <v>0.11335223788914807</v>
      </c>
      <c r="P12" s="1803">
        <v>9.0316632242800843E-2</v>
      </c>
      <c r="Q12" s="1803">
        <v>3.3427995991947235E-2</v>
      </c>
      <c r="R12" s="2209"/>
      <c r="S12" s="2209"/>
      <c r="T12" s="2209"/>
      <c r="U12" s="2210"/>
      <c r="V12" s="2193"/>
      <c r="W12" s="2193"/>
      <c r="X12" s="2193"/>
      <c r="Y12" s="2211" t="s">
        <v>1415</v>
      </c>
      <c r="Z12" s="2212" t="s">
        <v>1066</v>
      </c>
      <c r="AA12" s="2213">
        <v>2.0003798120000003</v>
      </c>
      <c r="AB12" s="2213">
        <v>2.5391999999999997</v>
      </c>
      <c r="AC12" s="2213">
        <v>2.4289999999999998</v>
      </c>
      <c r="AD12" s="2214">
        <v>2.6326419309998919</v>
      </c>
      <c r="AE12" s="2214">
        <v>3.1959004009997933</v>
      </c>
      <c r="AF12" s="2214">
        <v>3.3053054349999056</v>
      </c>
      <c r="AG12" s="2214">
        <v>3.310012529999911</v>
      </c>
      <c r="AH12" s="2214">
        <v>3.5711605999999745</v>
      </c>
      <c r="AI12" s="2214">
        <v>3.4700676399999506</v>
      </c>
      <c r="AJ12" s="2215">
        <v>3.883883311999889</v>
      </c>
      <c r="AK12" s="2215">
        <v>3.6679440164188035</v>
      </c>
      <c r="AL12" s="2215">
        <v>3.833387781892208</v>
      </c>
      <c r="AM12" s="2215">
        <v>4.0972981706979192</v>
      </c>
      <c r="AN12" s="2216">
        <v>4.5403418109611131</v>
      </c>
      <c r="AO12" s="2216">
        <v>3.7394941578492924</v>
      </c>
      <c r="AP12" s="2216">
        <v>4.0872046504576636</v>
      </c>
      <c r="AQ12" s="2216">
        <v>4.5504984442979728</v>
      </c>
      <c r="AR12" s="2216">
        <v>4.9614841388130699</v>
      </c>
      <c r="AS12" s="2217">
        <f t="shared" si="0"/>
        <v>2.0535113279238432E-2</v>
      </c>
      <c r="AT12" s="2217">
        <f t="shared" si="1"/>
        <v>3.3427995991947235E-2</v>
      </c>
      <c r="AU12" s="2193"/>
      <c r="AV12" s="2218">
        <f t="shared" si="2"/>
        <v>9.0316632242800843E-2</v>
      </c>
      <c r="AW12" s="2193"/>
      <c r="AX12" s="2193"/>
      <c r="AY12" s="2220" t="s">
        <v>1066</v>
      </c>
      <c r="AZ12" s="2193">
        <v>1.6680248836704801</v>
      </c>
      <c r="BA12" s="2193"/>
      <c r="BB12" s="2193"/>
      <c r="BC12" s="2193"/>
      <c r="BD12" s="2193"/>
    </row>
    <row r="13" spans="1:56" s="2192" customFormat="1" ht="18" customHeight="1" x14ac:dyDescent="0.25">
      <c r="A13" s="2363"/>
      <c r="B13" s="2361" t="s">
        <v>1414</v>
      </c>
      <c r="C13" s="2191">
        <v>-4.4071603955200156E-2</v>
      </c>
      <c r="D13" s="2191">
        <v>0.11264309609534662</v>
      </c>
      <c r="E13" s="2191">
        <v>7.8121226236878449E-2</v>
      </c>
      <c r="F13" s="2191">
        <v>-6.0060354193895327E-2</v>
      </c>
      <c r="G13" s="2191">
        <v>-2.3419983589768489E-2</v>
      </c>
      <c r="H13" s="2191">
        <v>-3.9921565045345164E-2</v>
      </c>
      <c r="I13" s="2191">
        <v>-0.11347346496395405</v>
      </c>
      <c r="J13" s="2191">
        <v>0.12088502341401086</v>
      </c>
      <c r="K13" s="2191">
        <v>0.11059810083774302</v>
      </c>
      <c r="L13" s="2191"/>
      <c r="M13" s="2191"/>
      <c r="N13" s="2191">
        <v>-6.2396886108103476E-2</v>
      </c>
      <c r="O13" s="2191">
        <v>-1.2930328875300545E-2</v>
      </c>
      <c r="P13" s="1803">
        <v>-9.203432608967721E-3</v>
      </c>
      <c r="Q13" s="1803">
        <v>-3.9197738887678524E-3</v>
      </c>
      <c r="R13" s="2209"/>
      <c r="S13" s="2209"/>
      <c r="T13" s="2209"/>
      <c r="U13" s="2210"/>
      <c r="V13" s="2193"/>
      <c r="W13" s="2193"/>
      <c r="X13" s="2193"/>
      <c r="Y13" s="2211" t="s">
        <v>1416</v>
      </c>
      <c r="Z13" s="2212" t="s">
        <v>1414</v>
      </c>
      <c r="AA13" s="2213">
        <v>12.588055930000001</v>
      </c>
      <c r="AB13" s="2213">
        <v>11.6286</v>
      </c>
      <c r="AC13" s="2213">
        <v>10.789</v>
      </c>
      <c r="AD13" s="2214">
        <v>9.306758179999969</v>
      </c>
      <c r="AE13" s="2214">
        <v>7.6564935699999888</v>
      </c>
      <c r="AF13" s="2214">
        <v>6.2356723000000089</v>
      </c>
      <c r="AG13" s="2214">
        <v>5.9608562199999966</v>
      </c>
      <c r="AH13" s="2214">
        <v>6.632305520000001</v>
      </c>
      <c r="AI13" s="2214">
        <v>7.1504293600000182</v>
      </c>
      <c r="AJ13" s="2215">
        <v>6.7209720399999888</v>
      </c>
      <c r="AK13" s="2215">
        <v>6.5635669851158962</v>
      </c>
      <c r="AL13" s="2215">
        <v>6.301539118790112</v>
      </c>
      <c r="AM13" s="2215">
        <v>5.5864816403750961</v>
      </c>
      <c r="AN13" s="2216">
        <v>6.2618036042737808</v>
      </c>
      <c r="AO13" s="2216">
        <v>6.9543471907253949</v>
      </c>
      <c r="AP13" s="2216">
        <v>6.5204175811094931</v>
      </c>
      <c r="AQ13" s="2216">
        <v>6.436106437381456</v>
      </c>
      <c r="AR13" s="2216">
        <v>6.3768721655208722</v>
      </c>
      <c r="AS13" s="2217">
        <f t="shared" si="0"/>
        <v>2.6393270364766411E-2</v>
      </c>
      <c r="AT13" s="2217">
        <f t="shared" si="1"/>
        <v>-3.9197738887678524E-3</v>
      </c>
      <c r="AU13" s="2193"/>
      <c r="AV13" s="2218">
        <f t="shared" si="2"/>
        <v>-9.203432608967721E-3</v>
      </c>
      <c r="AW13" s="2193"/>
      <c r="AX13" s="2193"/>
      <c r="AY13" s="2220" t="s">
        <v>1414</v>
      </c>
      <c r="AZ13" s="2193">
        <v>2.5958464276943567</v>
      </c>
      <c r="BA13" s="2193"/>
      <c r="BB13" s="2193"/>
      <c r="BC13" s="2193"/>
      <c r="BD13" s="2193"/>
    </row>
    <row r="14" spans="1:56" s="2192" customFormat="1" ht="18" customHeight="1" x14ac:dyDescent="0.25">
      <c r="A14" s="2363"/>
      <c r="B14" s="2361" t="s">
        <v>1054</v>
      </c>
      <c r="C14" s="2191">
        <v>1.3156754444622498E-2</v>
      </c>
      <c r="D14" s="2191">
        <v>0.17053703831855893</v>
      </c>
      <c r="E14" s="2191">
        <v>-4.1053555811099152E-4</v>
      </c>
      <c r="F14" s="2191">
        <v>2.5330719099203369E-2</v>
      </c>
      <c r="G14" s="2191">
        <v>0.10217880805030877</v>
      </c>
      <c r="H14" s="2191">
        <v>1.8892130621961378E-3</v>
      </c>
      <c r="I14" s="2191">
        <v>0.1195688150360994</v>
      </c>
      <c r="J14" s="2191">
        <v>3.8864651028458264E-2</v>
      </c>
      <c r="K14" s="2191">
        <v>2.8724025160548061E-2</v>
      </c>
      <c r="L14" s="2191"/>
      <c r="M14" s="2191"/>
      <c r="N14" s="2191">
        <v>9.5313559180346064E-2</v>
      </c>
      <c r="O14" s="2191">
        <v>-2.5801628680449801E-2</v>
      </c>
      <c r="P14" s="1803">
        <v>1.3489052125260192E-2</v>
      </c>
      <c r="Q14" s="1803">
        <v>3.890269434436977E-2</v>
      </c>
      <c r="R14" s="2209"/>
      <c r="S14" s="2209"/>
      <c r="T14" s="2209"/>
      <c r="U14" s="2210"/>
      <c r="V14" s="2193"/>
      <c r="W14" s="2193"/>
      <c r="X14" s="2193"/>
      <c r="Y14" s="2211" t="s">
        <v>1054</v>
      </c>
      <c r="Z14" s="2212" t="s">
        <v>1054</v>
      </c>
      <c r="AA14" s="2213">
        <v>4.7468267929999994</v>
      </c>
      <c r="AB14" s="2213">
        <v>4.9340999999999999</v>
      </c>
      <c r="AC14" s="2213">
        <v>4.5380000000000003</v>
      </c>
      <c r="AD14" s="2214">
        <v>4.6382069590000317</v>
      </c>
      <c r="AE14" s="2214">
        <v>4.676194179000011</v>
      </c>
      <c r="AF14" s="2214">
        <v>5.0069575500000072</v>
      </c>
      <c r="AG14" s="2214">
        <v>5.0728328610000055</v>
      </c>
      <c r="AH14" s="2214">
        <v>5.937938753000009</v>
      </c>
      <c r="AI14" s="2214">
        <v>5.9355010180000169</v>
      </c>
      <c r="AJ14" s="2215">
        <v>6.0858515270000115</v>
      </c>
      <c r="AK14" s="2215">
        <v>6.7076965820000245</v>
      </c>
      <c r="AL14" s="2215">
        <v>6.7203688499999874</v>
      </c>
      <c r="AM14" s="2215">
        <v>7.52391539</v>
      </c>
      <c r="AN14" s="2216">
        <v>7.8163297359999957</v>
      </c>
      <c r="AO14" s="2216">
        <v>8.0408461879999997</v>
      </c>
      <c r="AP14" s="2216">
        <v>8.8072478569999983</v>
      </c>
      <c r="AQ14" s="2216">
        <v>8.5815429005000006</v>
      </c>
      <c r="AR14" s="2216">
        <v>8.6972997800000016</v>
      </c>
      <c r="AS14" s="2217">
        <f t="shared" si="0"/>
        <v>3.5997300648132634E-2</v>
      </c>
      <c r="AT14" s="2217">
        <f t="shared" si="1"/>
        <v>3.890269434436977E-2</v>
      </c>
      <c r="AU14" s="2193"/>
      <c r="AV14" s="2218">
        <f t="shared" si="2"/>
        <v>1.3489052125260192E-2</v>
      </c>
      <c r="AW14" s="2193"/>
      <c r="AX14" s="2193"/>
      <c r="AY14" s="2219" t="s">
        <v>1054</v>
      </c>
      <c r="AZ14" s="2193">
        <v>2.6263254749999976</v>
      </c>
      <c r="BA14" s="2193"/>
      <c r="BB14" s="2193"/>
      <c r="BC14" s="2193"/>
      <c r="BD14" s="2193"/>
    </row>
    <row r="15" spans="1:56" s="2192" customFormat="1" ht="18" customHeight="1" x14ac:dyDescent="0.25">
      <c r="A15" s="2363"/>
      <c r="B15" s="2361" t="s">
        <v>1157</v>
      </c>
      <c r="C15" s="2191">
        <v>0.23832304395977921</v>
      </c>
      <c r="D15" s="2191">
        <v>0.32560451333574747</v>
      </c>
      <c r="E15" s="2191">
        <v>0.24182316780611135</v>
      </c>
      <c r="F15" s="2191">
        <v>7.063694046593838E-2</v>
      </c>
      <c r="G15" s="2191">
        <v>-0.16801825784998137</v>
      </c>
      <c r="H15" s="2191">
        <v>1.6969462908186017E-2</v>
      </c>
      <c r="I15" s="2191">
        <v>-0.2811388244484152</v>
      </c>
      <c r="J15" s="2191">
        <v>-8.6491984860293969E-2</v>
      </c>
      <c r="K15" s="2191">
        <v>0.28684409899107344</v>
      </c>
      <c r="L15" s="2191"/>
      <c r="M15" s="2191"/>
      <c r="N15" s="2191">
        <v>0.10760815763610936</v>
      </c>
      <c r="O15" s="2191">
        <v>8.2866946196324273E-2</v>
      </c>
      <c r="P15" s="1803">
        <v>-0.16368690988383938</v>
      </c>
      <c r="Q15" s="1803">
        <v>-4.7464957809989494E-3</v>
      </c>
      <c r="R15" s="2209"/>
      <c r="S15" s="2209"/>
      <c r="T15" s="2209"/>
      <c r="U15" s="2210"/>
      <c r="V15" s="2193"/>
      <c r="W15" s="2193"/>
      <c r="X15" s="2193"/>
      <c r="Y15" s="2211" t="s">
        <v>1417</v>
      </c>
      <c r="Z15" s="2212" t="s">
        <v>1157</v>
      </c>
      <c r="AA15" s="2213">
        <v>6.1656000000000004</v>
      </c>
      <c r="AB15" s="2213">
        <v>6.5863000000000005</v>
      </c>
      <c r="AC15" s="2213">
        <v>4.9823999999999993</v>
      </c>
      <c r="AD15" s="2214">
        <v>6.137699747000009</v>
      </c>
      <c r="AE15" s="2214">
        <v>10.134902610999992</v>
      </c>
      <c r="AF15" s="2214">
        <v>11.755777878000011</v>
      </c>
      <c r="AG15" s="2214">
        <v>14.557450646000007</v>
      </c>
      <c r="AH15" s="2214">
        <v>19.297422279000003</v>
      </c>
      <c r="AI15" s="2214">
        <v>23.963986065000011</v>
      </c>
      <c r="AJ15" s="2215">
        <v>25.656728721999993</v>
      </c>
      <c r="AK15" s="2215">
        <v>21.345929859999977</v>
      </c>
      <c r="AL15" s="2215">
        <v>21.708158824999988</v>
      </c>
      <c r="AM15" s="2215">
        <v>15.605152572000001</v>
      </c>
      <c r="AN15" s="2216">
        <v>14.255431952</v>
      </c>
      <c r="AO15" s="2216">
        <v>18.344518485999998</v>
      </c>
      <c r="AP15" s="2216">
        <v>20.318538323000006</v>
      </c>
      <c r="AQ15" s="2216">
        <v>22.002273545000001</v>
      </c>
      <c r="AR15" s="2216">
        <v>18.400789378000002</v>
      </c>
      <c r="AS15" s="2217">
        <f t="shared" si="0"/>
        <v>7.615912572382684E-2</v>
      </c>
      <c r="AT15" s="2217">
        <f t="shared" si="1"/>
        <v>-4.7464957809989494E-3</v>
      </c>
      <c r="AU15" s="2193"/>
      <c r="AV15" s="2218">
        <f t="shared" si="2"/>
        <v>-0.16368690988383938</v>
      </c>
      <c r="AW15" s="2193"/>
      <c r="AX15" s="2193"/>
      <c r="AY15" s="2220" t="s">
        <v>1157</v>
      </c>
      <c r="AZ15" s="2193">
        <v>8.8483711500000002</v>
      </c>
      <c r="BA15" s="2193"/>
      <c r="BB15" s="2193"/>
      <c r="BC15" s="2193"/>
      <c r="BD15" s="2193"/>
    </row>
    <row r="16" spans="1:56" s="2192" customFormat="1" ht="18" customHeight="1" x14ac:dyDescent="0.25">
      <c r="A16" s="2363"/>
      <c r="B16" s="2361" t="s">
        <v>148</v>
      </c>
      <c r="C16" s="2191">
        <v>-1.4441793108912582E-2</v>
      </c>
      <c r="D16" s="2191">
        <v>8.2121987917987749E-2</v>
      </c>
      <c r="E16" s="2191">
        <v>3.8016888062896381E-2</v>
      </c>
      <c r="F16" s="2191">
        <v>0.26472922131712462</v>
      </c>
      <c r="G16" s="2191">
        <v>0.40597197802271223</v>
      </c>
      <c r="H16" s="2191">
        <v>-3.0387567055193077E-2</v>
      </c>
      <c r="I16" s="2191">
        <v>0.12550963436738449</v>
      </c>
      <c r="J16" s="2191">
        <v>-3.8629050617101424E-2</v>
      </c>
      <c r="K16" s="2191">
        <v>0.28591394708256179</v>
      </c>
      <c r="L16" s="2191"/>
      <c r="M16" s="2191"/>
      <c r="N16" s="2191">
        <v>-7.0639146394207153E-2</v>
      </c>
      <c r="O16" s="2191">
        <v>-0.21050924147831396</v>
      </c>
      <c r="P16" s="1803">
        <v>-0.10736835510242726</v>
      </c>
      <c r="Q16" s="1803">
        <v>5.0130478943392731E-2</v>
      </c>
      <c r="R16" s="2209"/>
      <c r="S16" s="2209"/>
      <c r="T16" s="2209"/>
      <c r="U16" s="2210"/>
      <c r="V16" s="2193"/>
      <c r="W16" s="2193"/>
      <c r="X16" s="2193"/>
      <c r="Y16" s="2211" t="s">
        <v>148</v>
      </c>
      <c r="Z16" s="2212" t="s">
        <v>148</v>
      </c>
      <c r="AA16" s="2213">
        <v>4.749971480000001</v>
      </c>
      <c r="AB16" s="2213">
        <v>5.4003999999999994</v>
      </c>
      <c r="AC16" s="2213">
        <v>4.5691999999999995</v>
      </c>
      <c r="AD16" s="2214">
        <v>4.92197764799994</v>
      </c>
      <c r="AE16" s="2214">
        <v>5.5070684759999935</v>
      </c>
      <c r="AF16" s="2214">
        <v>5.954283470999961</v>
      </c>
      <c r="AG16" s="2214">
        <v>5.8682929409999618</v>
      </c>
      <c r="AH16" s="2214">
        <v>6.3502088229999734</v>
      </c>
      <c r="AI16" s="2214">
        <v>6.5916240009999809</v>
      </c>
      <c r="AJ16" s="2215">
        <v>8.3366194899999755</v>
      </c>
      <c r="AK16" s="2215">
        <v>11.721053394377961</v>
      </c>
      <c r="AL16" s="2215">
        <v>11.364879098398802</v>
      </c>
      <c r="AM16" s="2215">
        <v>12.791280918668365</v>
      </c>
      <c r="AN16" s="2216">
        <v>12.297165880603561</v>
      </c>
      <c r="AO16" s="2216">
        <v>15.813097115455934</v>
      </c>
      <c r="AP16" s="2216">
        <v>14.696073433371428</v>
      </c>
      <c r="AQ16" s="2216">
        <v>11.602414162202807</v>
      </c>
      <c r="AR16" s="2216">
        <v>10.356682038389986</v>
      </c>
      <c r="AS16" s="2217">
        <f t="shared" si="0"/>
        <v>4.2865326766170109E-2</v>
      </c>
      <c r="AT16" s="2217">
        <f t="shared" si="1"/>
        <v>5.0130478943392731E-2</v>
      </c>
      <c r="AU16" s="2193"/>
      <c r="AV16" s="2218">
        <f t="shared" si="2"/>
        <v>-0.10736835510242726</v>
      </c>
      <c r="AW16" s="2193"/>
      <c r="AX16" s="2193"/>
      <c r="AY16" s="2219" t="s">
        <v>148</v>
      </c>
      <c r="AZ16" s="2193">
        <v>5.0310543092137019</v>
      </c>
      <c r="BA16" s="2193"/>
      <c r="BB16" s="2193"/>
      <c r="BC16" s="2193"/>
      <c r="BD16" s="2193"/>
    </row>
    <row r="17" spans="1:55" ht="18" customHeight="1" thickBot="1" x14ac:dyDescent="0.3">
      <c r="A17" s="2363"/>
      <c r="B17" s="2362" t="s">
        <v>1029</v>
      </c>
      <c r="C17" s="1077">
        <v>4.4905030653211275E-2</v>
      </c>
      <c r="D17" s="1077">
        <v>0.11571877098722094</v>
      </c>
      <c r="E17" s="1077">
        <v>5.3734526133763838E-2</v>
      </c>
      <c r="F17" s="1077">
        <v>5.9450472047528846E-2</v>
      </c>
      <c r="G17" s="1077">
        <v>3.4196165534521983E-2</v>
      </c>
      <c r="H17" s="1077">
        <v>4.2696895833300719E-3</v>
      </c>
      <c r="I17" s="1077">
        <v>-9.261484642238127E-2</v>
      </c>
      <c r="J17" s="1077">
        <v>3.8093227546020181E-2</v>
      </c>
      <c r="K17" s="1077">
        <v>0.10566165052802257</v>
      </c>
      <c r="L17" s="1077"/>
      <c r="M17" s="1077"/>
      <c r="N17" s="1077">
        <v>5.0448555574665474E-2</v>
      </c>
      <c r="O17" s="1077">
        <v>2.1185008749786016E-2</v>
      </c>
      <c r="P17" s="2364">
        <v>1.0218849108852623E-2</v>
      </c>
      <c r="Q17" s="2364">
        <v>2.7237576808047299E-2</v>
      </c>
      <c r="R17" s="2221"/>
      <c r="S17" s="2222"/>
      <c r="T17" s="2222"/>
      <c r="U17" s="2223"/>
      <c r="V17" s="2223"/>
      <c r="W17" s="2223"/>
      <c r="X17" s="2223"/>
      <c r="Y17" s="2224" t="s">
        <v>1437</v>
      </c>
      <c r="Z17" s="2225" t="s">
        <v>1029</v>
      </c>
      <c r="AA17" s="2226">
        <f t="shared" ref="AA17:AR17" si="3">SUM(AA5:AA16)</f>
        <v>133.59913274900001</v>
      </c>
      <c r="AB17" s="2226">
        <f t="shared" si="3"/>
        <v>137.80769999999998</v>
      </c>
      <c r="AC17" s="2226">
        <f t="shared" si="3"/>
        <v>141.04100000000003</v>
      </c>
      <c r="AD17" s="2227">
        <f t="shared" si="3"/>
        <v>148.13220544200598</v>
      </c>
      <c r="AE17" s="2227">
        <f t="shared" si="3"/>
        <v>157.0570219409868</v>
      </c>
      <c r="AF17" s="2227">
        <f t="shared" si="3"/>
        <v>158.40685351999804</v>
      </c>
      <c r="AG17" s="2227">
        <f t="shared" si="3"/>
        <v>165.52011813299228</v>
      </c>
      <c r="AH17" s="2227">
        <f t="shared" si="3"/>
        <v>184.67390277700176</v>
      </c>
      <c r="AI17" s="2227">
        <f t="shared" si="3"/>
        <v>194.59726743199673</v>
      </c>
      <c r="AJ17" s="2227">
        <f t="shared" si="3"/>
        <v>206.16616683998814</v>
      </c>
      <c r="AK17" s="2227">
        <f t="shared" si="3"/>
        <v>213.21625920886623</v>
      </c>
      <c r="AL17" s="2227">
        <f t="shared" si="3"/>
        <v>214.12662644980693</v>
      </c>
      <c r="AM17" s="2227">
        <f t="shared" si="3"/>
        <v>194.29532182621546</v>
      </c>
      <c r="AN17" s="2227">
        <f t="shared" si="3"/>
        <v>201.69665773166869</v>
      </c>
      <c r="AO17" s="2227">
        <f t="shared" si="3"/>
        <v>223.00825949358247</v>
      </c>
      <c r="AP17" s="2227">
        <f t="shared" si="3"/>
        <v>234.25870406625387</v>
      </c>
      <c r="AQ17" s="2227">
        <f t="shared" si="3"/>
        <v>239.16577794216749</v>
      </c>
      <c r="AR17" s="2227">
        <f t="shared" si="3"/>
        <v>241.60977693895987</v>
      </c>
      <c r="AS17" s="2227"/>
      <c r="AT17" s="2228">
        <f>(AR17/AH17)^0.1-1</f>
        <v>2.7237576808047281E-2</v>
      </c>
      <c r="AV17" s="2218">
        <f t="shared" si="2"/>
        <v>1.0218849108852623E-2</v>
      </c>
      <c r="AY17" s="2229" t="s">
        <v>237</v>
      </c>
      <c r="AZ17" s="2193">
        <v>85.929085927180282</v>
      </c>
    </row>
    <row r="18" spans="1:55" ht="15.75" customHeight="1" thickBot="1" x14ac:dyDescent="0.3">
      <c r="B18" s="764"/>
      <c r="C18" s="761"/>
      <c r="D18" s="761"/>
      <c r="E18" s="761"/>
      <c r="F18" s="761"/>
      <c r="G18" s="761"/>
      <c r="H18" s="761"/>
      <c r="I18" s="761"/>
      <c r="J18" s="681"/>
      <c r="K18" s="761"/>
      <c r="Q18" s="765"/>
      <c r="Z18" s="2230" t="s">
        <v>1400</v>
      </c>
      <c r="AA18" s="2226">
        <v>3.6</v>
      </c>
      <c r="AB18" s="2226">
        <f>(AB17-AA17)*100/AA17</f>
        <v>3.1501456367286771</v>
      </c>
      <c r="AC18" s="2226">
        <f>(AC17-AB17)*100/AB17</f>
        <v>2.3462404495540112</v>
      </c>
      <c r="AD18" s="2227">
        <v>5</v>
      </c>
      <c r="AE18" s="2227">
        <v>6.1</v>
      </c>
      <c r="AF18" s="2227">
        <f>AF17/AE17*100-100</f>
        <v>0.85945318606539445</v>
      </c>
      <c r="AG18" s="2227">
        <v>4.5</v>
      </c>
      <c r="AH18" s="2227">
        <v>11.6</v>
      </c>
      <c r="AI18" s="2227">
        <v>5.4</v>
      </c>
      <c r="AJ18" s="2231">
        <v>5.9</v>
      </c>
      <c r="AK18" s="2231">
        <f>(AK17-AJ17)/AJ17*100</f>
        <v>3.4196165534521912</v>
      </c>
      <c r="AL18" s="2231">
        <f>AL17/AK17*100-100</f>
        <v>0.4269689583330063</v>
      </c>
      <c r="AM18" s="2231">
        <v>-9.1043904707529197</v>
      </c>
      <c r="AN18" s="2231">
        <f>100*(AN17-AM17)/AM17</f>
        <v>3.8093227546020132</v>
      </c>
      <c r="AO18" s="2231">
        <f>100*(AO17-AN17)/AN17</f>
        <v>10.566165052802267</v>
      </c>
      <c r="AP18" s="2231">
        <f>100*(AP17-AO17)/AO17</f>
        <v>5.0448555574665406</v>
      </c>
      <c r="AQ18" s="2231">
        <f>100*(AQ17-AP17)/AP17</f>
        <v>2.0947242474823002</v>
      </c>
      <c r="AR18" s="2231">
        <f>100*(AR17-AQ17)/AQ17</f>
        <v>1.021884910885267</v>
      </c>
      <c r="AS18" s="2232"/>
      <c r="AT18" s="2232"/>
    </row>
    <row r="19" spans="1:55" ht="25.5" customHeight="1" x14ac:dyDescent="0.25">
      <c r="B19" s="763"/>
      <c r="C19" s="1078"/>
      <c r="D19" s="1078"/>
      <c r="E19" s="1078"/>
      <c r="F19" s="1078"/>
      <c r="G19" s="1078"/>
      <c r="H19" s="1078"/>
      <c r="I19" s="1078"/>
      <c r="J19" s="1078"/>
      <c r="K19" s="1078"/>
      <c r="L19" s="1078"/>
      <c r="M19" s="1078"/>
      <c r="N19" s="1078"/>
      <c r="O19" s="1078"/>
      <c r="P19" s="1078"/>
      <c r="Q19" s="1079"/>
      <c r="R19" s="2233"/>
      <c r="S19" s="2234"/>
      <c r="T19" s="2234"/>
      <c r="U19" s="2234"/>
      <c r="V19" s="2234"/>
      <c r="W19" s="2234"/>
      <c r="X19" s="2234"/>
      <c r="Y19" s="2235"/>
      <c r="Z19" s="2236"/>
      <c r="AA19" s="2237"/>
      <c r="AB19" s="2237"/>
      <c r="AC19" s="2237"/>
      <c r="AD19" s="2238"/>
      <c r="AE19" s="2238"/>
      <c r="AF19" s="2238"/>
      <c r="AG19" s="2238"/>
      <c r="AH19" s="2238"/>
      <c r="AI19" s="2238"/>
      <c r="AJ19" s="2239"/>
      <c r="AK19" s="2239"/>
      <c r="AL19" s="2239"/>
      <c r="AM19" s="2239"/>
      <c r="AN19" s="2239"/>
      <c r="AO19" s="2239"/>
      <c r="AP19" s="2239"/>
      <c r="AQ19" s="2240"/>
      <c r="AR19" s="2240"/>
      <c r="AS19" s="2240"/>
      <c r="AT19" s="2240"/>
    </row>
    <row r="20" spans="1:55" ht="15.75" customHeight="1" x14ac:dyDescent="0.25">
      <c r="B20" s="764"/>
      <c r="C20" s="761"/>
      <c r="D20" s="761"/>
      <c r="E20" s="761"/>
      <c r="F20" s="761"/>
      <c r="G20" s="761"/>
      <c r="H20" s="761"/>
      <c r="I20" s="761"/>
      <c r="J20" s="681"/>
      <c r="K20" s="761"/>
      <c r="Q20" s="1080"/>
      <c r="R20" s="2241"/>
      <c r="S20" s="2241"/>
      <c r="T20" s="2241"/>
      <c r="Y20" s="2202"/>
      <c r="Z20" s="2236"/>
      <c r="AA20" s="2237"/>
      <c r="AB20" s="2237"/>
      <c r="AC20" s="2237"/>
      <c r="AD20" s="2238"/>
      <c r="AE20" s="2238"/>
      <c r="AF20" s="2238"/>
      <c r="AG20" s="2238"/>
      <c r="AH20" s="2238"/>
      <c r="AI20" s="2238"/>
      <c r="AJ20" s="2239"/>
      <c r="AK20" s="2239"/>
      <c r="AL20" s="2239"/>
      <c r="AM20" s="2239"/>
      <c r="AN20" s="2239"/>
      <c r="AO20" s="2239"/>
      <c r="AP20" s="2239"/>
      <c r="AQ20" s="2240"/>
      <c r="AR20" s="2240"/>
      <c r="AS20" s="2240"/>
      <c r="AT20" s="2240"/>
    </row>
    <row r="21" spans="1:55" ht="15.75" customHeight="1" x14ac:dyDescent="0.25">
      <c r="B21" s="764"/>
      <c r="C21" s="761"/>
      <c r="D21" s="761"/>
      <c r="E21" s="761"/>
      <c r="F21" s="761"/>
      <c r="G21" s="761"/>
      <c r="H21" s="761"/>
      <c r="I21" s="761"/>
      <c r="J21" s="681"/>
      <c r="K21" s="761"/>
      <c r="Q21" s="1080"/>
      <c r="R21" s="2241"/>
      <c r="S21" s="2241"/>
      <c r="T21" s="2241"/>
      <c r="Y21" s="2202"/>
      <c r="Z21" s="2236"/>
      <c r="AA21" s="2237"/>
      <c r="AB21" s="2237"/>
      <c r="AC21" s="2237"/>
      <c r="AD21" s="2238"/>
      <c r="AE21" s="2238"/>
      <c r="AF21" s="2238"/>
      <c r="AG21" s="2238"/>
      <c r="AH21" s="2238"/>
      <c r="AI21" s="2238"/>
      <c r="AJ21" s="2239"/>
      <c r="AK21" s="2239"/>
      <c r="AL21" s="2239"/>
      <c r="AM21" s="2239"/>
      <c r="AN21" s="2239"/>
      <c r="AO21" s="2239"/>
      <c r="AP21" s="2239"/>
      <c r="AQ21" s="2240"/>
      <c r="AR21" s="2240"/>
      <c r="AS21" s="2240"/>
      <c r="AT21" s="2240"/>
    </row>
    <row r="22" spans="1:55" ht="15.75" hidden="1" customHeight="1" x14ac:dyDescent="0.25">
      <c r="B22" s="764"/>
      <c r="C22" s="761"/>
      <c r="D22" s="761"/>
      <c r="E22" s="761"/>
      <c r="F22" s="761"/>
      <c r="G22" s="761"/>
      <c r="H22" s="761"/>
      <c r="I22" s="761"/>
      <c r="J22" s="681"/>
      <c r="K22" s="761"/>
      <c r="Q22" s="1080"/>
      <c r="R22" s="2241"/>
      <c r="S22" s="2241"/>
      <c r="T22" s="2241"/>
      <c r="Y22" s="2202"/>
      <c r="Z22" s="2236"/>
      <c r="AA22" s="2237"/>
      <c r="AB22" s="2237"/>
      <c r="AC22" s="2237"/>
      <c r="AD22" s="2238"/>
      <c r="AE22" s="2238"/>
      <c r="AF22" s="2238"/>
      <c r="AG22" s="2238"/>
      <c r="AH22" s="2238"/>
      <c r="AI22" s="2238"/>
      <c r="AJ22" s="2239"/>
      <c r="AK22" s="2239"/>
      <c r="AL22" s="2239"/>
      <c r="AM22" s="2239"/>
      <c r="AN22" s="2239"/>
      <c r="AO22" s="2239"/>
      <c r="AP22" s="2239"/>
      <c r="AQ22" s="2240"/>
      <c r="AR22" s="2240"/>
      <c r="AS22" s="2240"/>
      <c r="AT22" s="2240"/>
    </row>
    <row r="23" spans="1:55" ht="15.75" hidden="1" customHeight="1" x14ac:dyDescent="0.25">
      <c r="B23" s="764"/>
      <c r="C23" s="761"/>
      <c r="D23" s="761"/>
      <c r="E23" s="761"/>
      <c r="F23" s="761"/>
      <c r="G23" s="761"/>
      <c r="H23" s="761"/>
      <c r="I23" s="761"/>
      <c r="J23" s="681"/>
      <c r="K23" s="761"/>
      <c r="Q23" s="1080"/>
      <c r="R23" s="2241"/>
      <c r="S23" s="2241"/>
      <c r="T23" s="2241"/>
      <c r="Y23" s="2202"/>
      <c r="Z23" s="2236"/>
      <c r="AA23" s="2237"/>
      <c r="AB23" s="2237"/>
      <c r="AC23" s="2237"/>
      <c r="AD23" s="2238"/>
      <c r="AE23" s="2238"/>
      <c r="AF23" s="2238"/>
      <c r="AG23" s="2238"/>
      <c r="AH23" s="2238"/>
      <c r="AI23" s="2238"/>
      <c r="AJ23" s="2239"/>
      <c r="AK23" s="2239"/>
      <c r="AL23" s="2239"/>
      <c r="AM23" s="2239"/>
      <c r="AN23" s="2239"/>
      <c r="AO23" s="2239"/>
      <c r="AP23" s="2239"/>
      <c r="AQ23" s="2240"/>
      <c r="AR23" s="2240"/>
      <c r="AS23" s="2240"/>
      <c r="AT23" s="2240"/>
    </row>
    <row r="24" spans="1:55" ht="15.75" hidden="1" customHeight="1" x14ac:dyDescent="0.25">
      <c r="B24" s="764"/>
      <c r="C24" s="761"/>
      <c r="D24" s="761"/>
      <c r="E24" s="761"/>
      <c r="F24" s="761"/>
      <c r="G24" s="761"/>
      <c r="H24" s="761"/>
      <c r="I24" s="761"/>
      <c r="J24" s="681"/>
      <c r="K24" s="761"/>
      <c r="Q24" s="1080"/>
      <c r="R24" s="2241"/>
      <c r="S24" s="2241"/>
      <c r="T24" s="2241"/>
      <c r="Y24" s="2202"/>
      <c r="Z24" s="2236"/>
      <c r="AA24" s="2237"/>
      <c r="AB24" s="2237"/>
      <c r="AC24" s="2237"/>
      <c r="AD24" s="2238"/>
      <c r="AE24" s="2238"/>
      <c r="AF24" s="2238"/>
      <c r="AG24" s="2238"/>
      <c r="AH24" s="2238"/>
      <c r="AI24" s="2238"/>
      <c r="AJ24" s="2239"/>
      <c r="AK24" s="2239"/>
      <c r="AL24" s="2239"/>
      <c r="AM24" s="2239"/>
      <c r="AN24" s="2239"/>
      <c r="AO24" s="2239"/>
      <c r="AP24" s="2239"/>
      <c r="AQ24" s="2240"/>
      <c r="AR24" s="2240"/>
      <c r="AS24" s="2240"/>
      <c r="AT24" s="2240"/>
    </row>
    <row r="25" spans="1:55" hidden="1" x14ac:dyDescent="0.25">
      <c r="B25" s="766"/>
      <c r="C25" s="790"/>
      <c r="D25" s="790"/>
      <c r="E25" s="790"/>
      <c r="F25" s="790"/>
      <c r="G25" s="790"/>
      <c r="H25" s="791"/>
      <c r="I25" s="791"/>
      <c r="J25" s="791"/>
      <c r="K25" s="791"/>
      <c r="Q25" s="1080"/>
      <c r="R25" s="2241"/>
      <c r="S25" s="2241"/>
      <c r="T25" s="2241"/>
      <c r="Y25" s="2202"/>
    </row>
    <row r="26" spans="1:55" ht="18.75" hidden="1" customHeight="1" x14ac:dyDescent="0.25">
      <c r="B26" s="3403" t="s">
        <v>1438</v>
      </c>
      <c r="C26" s="3404"/>
      <c r="D26" s="3404"/>
      <c r="E26" s="3404"/>
      <c r="F26" s="3404"/>
      <c r="G26" s="3404"/>
      <c r="H26" s="3404"/>
      <c r="I26" s="3404"/>
      <c r="J26" s="3404"/>
      <c r="K26" s="3404"/>
      <c r="Q26" s="1080"/>
      <c r="R26" s="2241"/>
      <c r="S26" s="2241"/>
      <c r="T26" s="2241"/>
      <c r="Y26" s="2202"/>
      <c r="Z26" s="3405" t="s">
        <v>1439</v>
      </c>
      <c r="AA26" s="3406"/>
      <c r="AB26" s="3406"/>
      <c r="AC26" s="3406"/>
      <c r="AD26" s="3406"/>
      <c r="AE26" s="3406"/>
      <c r="AF26" s="3406"/>
      <c r="AG26" s="3406"/>
      <c r="AH26" s="3406"/>
      <c r="AI26" s="3406"/>
      <c r="AJ26" s="3406"/>
      <c r="AK26" s="3406"/>
      <c r="AL26" s="3406"/>
      <c r="AP26" s="3391" t="s">
        <v>1440</v>
      </c>
      <c r="AQ26" s="3391"/>
      <c r="AR26" s="3391"/>
      <c r="AS26" s="3391"/>
      <c r="AT26" s="3391"/>
    </row>
    <row r="27" spans="1:55" hidden="1" x14ac:dyDescent="0.25">
      <c r="B27" s="3408"/>
      <c r="C27" s="3409"/>
      <c r="D27" s="3409"/>
      <c r="E27" s="3409"/>
      <c r="F27" s="3409"/>
      <c r="G27" s="3409"/>
      <c r="H27" s="3409"/>
      <c r="I27" s="3409"/>
      <c r="J27" s="3409"/>
      <c r="K27" s="3409"/>
      <c r="Q27" s="1080"/>
      <c r="R27" s="2241"/>
      <c r="S27" s="2241"/>
      <c r="T27" s="2241"/>
      <c r="Y27" s="2202"/>
      <c r="Z27" s="3401" t="s">
        <v>1441</v>
      </c>
      <c r="AA27" s="3401"/>
      <c r="AB27" s="3401"/>
      <c r="AC27" s="3401"/>
      <c r="AD27" s="3401"/>
      <c r="AE27" s="3401"/>
      <c r="AF27" s="3401"/>
      <c r="AG27" s="3401"/>
      <c r="AH27" s="3401"/>
      <c r="AI27" s="3401"/>
      <c r="AJ27" s="3401"/>
      <c r="AK27" s="3401"/>
      <c r="AL27" s="3401"/>
      <c r="AP27" s="3407"/>
      <c r="AQ27" s="3407"/>
      <c r="AR27" s="3407"/>
      <c r="AS27" s="3407"/>
      <c r="AT27" s="3407"/>
    </row>
    <row r="28" spans="1:55" ht="56.25" hidden="1" x14ac:dyDescent="0.55000000000000004">
      <c r="B28" s="767" t="s">
        <v>3</v>
      </c>
      <c r="C28" s="3392"/>
      <c r="D28" s="3392"/>
      <c r="E28" s="768" t="s">
        <v>1443</v>
      </c>
      <c r="Q28" s="1080"/>
      <c r="R28" s="2241"/>
      <c r="S28" s="2241"/>
      <c r="T28" s="2241"/>
      <c r="Y28" s="2202"/>
      <c r="Z28" s="2203" t="s">
        <v>1150</v>
      </c>
      <c r="AA28" s="2204" t="s">
        <v>1083</v>
      </c>
      <c r="AB28" s="2242" t="s">
        <v>1085</v>
      </c>
      <c r="AC28" s="2242" t="s">
        <v>1086</v>
      </c>
      <c r="AD28" s="2242" t="s">
        <v>1087</v>
      </c>
      <c r="AE28" s="2204" t="s">
        <v>1176</v>
      </c>
      <c r="AF28" s="2204" t="s">
        <v>1392</v>
      </c>
      <c r="AG28" s="2204" t="s">
        <v>1090</v>
      </c>
      <c r="AH28" s="2205" t="s">
        <v>1393</v>
      </c>
      <c r="AI28" s="2204" t="s">
        <v>1394</v>
      </c>
      <c r="AJ28" s="2204" t="s">
        <v>1395</v>
      </c>
      <c r="AK28" s="2204" t="s">
        <v>1096</v>
      </c>
      <c r="AL28" s="2204" t="s">
        <v>1444</v>
      </c>
      <c r="AP28" s="2243" t="s">
        <v>1426</v>
      </c>
      <c r="AQ28" s="2244" t="s">
        <v>1378</v>
      </c>
      <c r="AR28" s="2244"/>
      <c r="AS28" s="2244"/>
      <c r="AT28" s="2244" t="s">
        <v>1379</v>
      </c>
      <c r="AU28" s="2244" t="s">
        <v>1380</v>
      </c>
      <c r="AV28" s="2244"/>
      <c r="AW28" s="2244"/>
      <c r="AX28" s="2244"/>
      <c r="AY28" s="2244" t="s">
        <v>1381</v>
      </c>
      <c r="AZ28" s="2244" t="s">
        <v>1382</v>
      </c>
      <c r="BA28" s="2244" t="s">
        <v>1383</v>
      </c>
      <c r="BB28" s="3390" t="s">
        <v>1445</v>
      </c>
      <c r="BC28" s="3391"/>
    </row>
    <row r="29" spans="1:55" ht="24" hidden="1" customHeight="1" x14ac:dyDescent="0.25">
      <c r="B29" s="767" t="s">
        <v>1446</v>
      </c>
      <c r="C29" s="3392"/>
      <c r="D29" s="3392"/>
      <c r="E29" s="768" t="s">
        <v>1448</v>
      </c>
      <c r="O29" s="681" t="s">
        <v>1449</v>
      </c>
      <c r="Q29" s="1080"/>
      <c r="R29" s="2241"/>
      <c r="S29" s="2241"/>
      <c r="T29" s="2241"/>
      <c r="Y29" s="2202"/>
      <c r="Z29" s="2212" t="s">
        <v>112</v>
      </c>
      <c r="AA29" s="2213"/>
      <c r="AB29" s="2213">
        <f t="shared" ref="AB29:AL29" si="4">(AB5-AA5)/AA5*100</f>
        <v>7.7456565098046122</v>
      </c>
      <c r="AC29" s="2213">
        <f t="shared" si="4"/>
        <v>9.1097340012485493</v>
      </c>
      <c r="AD29" s="2213">
        <f t="shared" si="4"/>
        <v>7.1006067331846303</v>
      </c>
      <c r="AE29" s="2213">
        <f t="shared" si="4"/>
        <v>1.6350964389675628</v>
      </c>
      <c r="AF29" s="2213">
        <f t="shared" si="4"/>
        <v>4.4421774466678894</v>
      </c>
      <c r="AG29" s="2213">
        <f t="shared" si="4"/>
        <v>10.473120951748143</v>
      </c>
      <c r="AH29" s="2213">
        <f t="shared" si="4"/>
        <v>9.0172814197674569</v>
      </c>
      <c r="AI29" s="2213">
        <f t="shared" si="4"/>
        <v>10.115504729535866</v>
      </c>
      <c r="AJ29" s="2213">
        <f t="shared" si="4"/>
        <v>8.0229263872630767</v>
      </c>
      <c r="AK29" s="2245">
        <f t="shared" si="4"/>
        <v>6.7045681511521638</v>
      </c>
      <c r="AL29" s="2245">
        <f t="shared" si="4"/>
        <v>5.7132641281068803</v>
      </c>
      <c r="AP29" s="2246" t="s">
        <v>112</v>
      </c>
      <c r="AQ29" s="2247">
        <v>1153.9000000000001</v>
      </c>
      <c r="AR29" s="2247"/>
      <c r="AS29" s="2247"/>
      <c r="AT29" s="2247">
        <v>1210.5</v>
      </c>
      <c r="AU29" s="2247">
        <v>1214.2</v>
      </c>
      <c r="AV29" s="2247"/>
      <c r="AW29" s="2247"/>
      <c r="AX29" s="2247"/>
      <c r="AY29" s="2247">
        <v>1247.9000000000001</v>
      </c>
      <c r="AZ29" s="2247">
        <v>1271.7</v>
      </c>
      <c r="BA29" s="2247">
        <v>1282.4000000000001</v>
      </c>
      <c r="BB29" s="2248">
        <f t="shared" ref="BB29:BB40" si="5">+SUM(AQ29:BA29)</f>
        <v>7380.6</v>
      </c>
      <c r="BC29" s="2249">
        <v>7.3806000000000003</v>
      </c>
    </row>
    <row r="30" spans="1:55" ht="18.75" hidden="1" customHeight="1" x14ac:dyDescent="0.25">
      <c r="B30" s="774" t="s">
        <v>1450</v>
      </c>
      <c r="C30" s="3388"/>
      <c r="D30" s="3389"/>
      <c r="E30" s="775">
        <v>2.9</v>
      </c>
      <c r="N30" s="142" t="s">
        <v>112</v>
      </c>
      <c r="O30" s="681">
        <v>14.981439999999999</v>
      </c>
      <c r="Q30" s="765" t="e">
        <f>((O30/#REF!)^0.1)-1</f>
        <v>#REF!</v>
      </c>
      <c r="U30" s="2193" t="e">
        <f>+Q30*100</f>
        <v>#REF!</v>
      </c>
      <c r="Y30" s="2202"/>
      <c r="Z30" s="2212" t="s">
        <v>1046</v>
      </c>
      <c r="AA30" s="2213"/>
      <c r="AB30" s="2213">
        <f t="shared" ref="AB30:AL37" si="6">(AB7-AA7)/AA7*100</f>
        <v>-27.148299017880817</v>
      </c>
      <c r="AC30" s="2213">
        <f t="shared" si="6"/>
        <v>5.3462532809693935</v>
      </c>
      <c r="AD30" s="2213">
        <f t="shared" si="6"/>
        <v>5.1097056013488729</v>
      </c>
      <c r="AE30" s="2213">
        <f t="shared" si="6"/>
        <v>9.5161538286687897</v>
      </c>
      <c r="AF30" s="2213">
        <f t="shared" si="6"/>
        <v>-8.0082705437428974</v>
      </c>
      <c r="AG30" s="2213">
        <f t="shared" si="6"/>
        <v>-1.9740817295300348</v>
      </c>
      <c r="AH30" s="2213">
        <f t="shared" si="6"/>
        <v>19.751010733485096</v>
      </c>
      <c r="AI30" s="2213">
        <f t="shared" si="6"/>
        <v>-0.22651766467986964</v>
      </c>
      <c r="AJ30" s="2213">
        <f t="shared" si="6"/>
        <v>-2.6597646385438427</v>
      </c>
      <c r="AK30" s="2245">
        <f t="shared" si="6"/>
        <v>9.641264214862014</v>
      </c>
      <c r="AL30" s="2245">
        <f t="shared" si="6"/>
        <v>0.96627910764571046</v>
      </c>
      <c r="AP30" s="2250" t="s">
        <v>1046</v>
      </c>
      <c r="AQ30" s="2247">
        <v>1009.9</v>
      </c>
      <c r="AR30" s="2247"/>
      <c r="AS30" s="2247"/>
      <c r="AT30" s="2247">
        <v>961.2</v>
      </c>
      <c r="AU30" s="2247">
        <v>850.1</v>
      </c>
      <c r="AV30" s="2247"/>
      <c r="AW30" s="2247"/>
      <c r="AX30" s="2247"/>
      <c r="AY30" s="2247">
        <v>959.6</v>
      </c>
      <c r="AZ30" s="2247">
        <v>904.2</v>
      </c>
      <c r="BA30" s="2247">
        <v>983.8</v>
      </c>
      <c r="BB30" s="2248">
        <f t="shared" si="5"/>
        <v>5668.8</v>
      </c>
      <c r="BC30" s="2249">
        <v>5.6688000000000001</v>
      </c>
    </row>
    <row r="31" spans="1:55" ht="18.75" hidden="1" customHeight="1" x14ac:dyDescent="0.25">
      <c r="B31" s="774" t="s">
        <v>1452</v>
      </c>
      <c r="C31" s="3388"/>
      <c r="D31" s="3389"/>
      <c r="E31" s="775">
        <v>12.4</v>
      </c>
      <c r="N31" s="142" t="s">
        <v>1045</v>
      </c>
      <c r="O31" s="681">
        <v>19.84966</v>
      </c>
      <c r="Q31" s="765" t="e">
        <f>(O31/#REF!)^0.1-1</f>
        <v>#REF!</v>
      </c>
      <c r="U31" s="2193" t="e">
        <f t="shared" ref="U31:U42" si="7">+Q31*100</f>
        <v>#REF!</v>
      </c>
      <c r="Y31" s="2202"/>
      <c r="Z31" s="2212" t="s">
        <v>1049</v>
      </c>
      <c r="AA31" s="2213"/>
      <c r="AB31" s="2213">
        <f t="shared" si="6"/>
        <v>4.614293376320008</v>
      </c>
      <c r="AC31" s="2213">
        <f t="shared" si="6"/>
        <v>9.7616320532491905</v>
      </c>
      <c r="AD31" s="2213">
        <f t="shared" si="6"/>
        <v>9.0369566843866966</v>
      </c>
      <c r="AE31" s="2213">
        <f t="shared" si="6"/>
        <v>-4.7947364008181577</v>
      </c>
      <c r="AF31" s="2213">
        <f t="shared" si="6"/>
        <v>4.4435477085091799</v>
      </c>
      <c r="AG31" s="2213">
        <f t="shared" si="6"/>
        <v>3.9623892049175637</v>
      </c>
      <c r="AH31" s="2213">
        <f t="shared" si="6"/>
        <v>9.4105555891949404</v>
      </c>
      <c r="AI31" s="2213">
        <f t="shared" si="6"/>
        <v>11.745150210744077</v>
      </c>
      <c r="AJ31" s="2213">
        <f t="shared" si="6"/>
        <v>9.079363641683976</v>
      </c>
      <c r="AK31" s="2245">
        <f t="shared" si="6"/>
        <v>8.7387877861197438</v>
      </c>
      <c r="AL31" s="2245">
        <f t="shared" si="6"/>
        <v>-3.65510264869472</v>
      </c>
      <c r="AP31" s="2246" t="s">
        <v>1045</v>
      </c>
      <c r="AQ31" s="2247">
        <v>1201.9000000000001</v>
      </c>
      <c r="AR31" s="2247"/>
      <c r="AS31" s="2247"/>
      <c r="AT31" s="2247">
        <v>1351.1</v>
      </c>
      <c r="AU31" s="2247">
        <v>1248.5</v>
      </c>
      <c r="AV31" s="2247"/>
      <c r="AW31" s="2247"/>
      <c r="AX31" s="2247"/>
      <c r="AY31" s="2247">
        <v>1212</v>
      </c>
      <c r="AZ31" s="2247">
        <v>1221.9000000000001</v>
      </c>
      <c r="BA31" s="2247">
        <v>1196.7</v>
      </c>
      <c r="BB31" s="2248">
        <f t="shared" si="5"/>
        <v>7432.0999999999995</v>
      </c>
      <c r="BC31" s="2249">
        <v>7.4320999999999993</v>
      </c>
    </row>
    <row r="32" spans="1:55" ht="18.75" hidden="1" customHeight="1" x14ac:dyDescent="0.25">
      <c r="B32" s="774" t="s">
        <v>1454</v>
      </c>
      <c r="C32" s="3388"/>
      <c r="D32" s="3389"/>
      <c r="E32" s="775">
        <v>1.2</v>
      </c>
      <c r="N32" s="142" t="s">
        <v>1046</v>
      </c>
      <c r="O32" s="681">
        <v>6.7496400000000003</v>
      </c>
      <c r="Q32" s="765" t="e">
        <f>(O32/#REF!)^0.1-1</f>
        <v>#REF!</v>
      </c>
      <c r="U32" s="2193" t="e">
        <f t="shared" si="7"/>
        <v>#REF!</v>
      </c>
      <c r="Y32" s="2202"/>
      <c r="Z32" s="2212" t="s">
        <v>1059</v>
      </c>
      <c r="AA32" s="2213"/>
      <c r="AB32" s="2213">
        <f t="shared" si="6"/>
        <v>1.3232476991763205E-2</v>
      </c>
      <c r="AC32" s="2213">
        <f t="shared" si="6"/>
        <v>-4.0423039305252439</v>
      </c>
      <c r="AD32" s="2213">
        <f t="shared" si="6"/>
        <v>-7.8338119399641677</v>
      </c>
      <c r="AE32" s="2213">
        <f t="shared" si="6"/>
        <v>-8.8361830837315978</v>
      </c>
      <c r="AF32" s="2213">
        <f t="shared" si="6"/>
        <v>-4.4888776860962976</v>
      </c>
      <c r="AG32" s="2213">
        <f t="shared" si="6"/>
        <v>-1.0893838820269781</v>
      </c>
      <c r="AH32" s="2213">
        <f t="shared" si="6"/>
        <v>-3.6746430860958044</v>
      </c>
      <c r="AI32" s="2213">
        <f t="shared" si="6"/>
        <v>-20.940946339768118</v>
      </c>
      <c r="AJ32" s="2213">
        <f t="shared" si="6"/>
        <v>-28.752064743895268</v>
      </c>
      <c r="AK32" s="2245">
        <f t="shared" si="6"/>
        <v>-10.029856921319331</v>
      </c>
      <c r="AL32" s="2245">
        <f t="shared" si="6"/>
        <v>-30.716767811035005</v>
      </c>
      <c r="AP32" s="2246" t="s">
        <v>1049</v>
      </c>
      <c r="AQ32" s="2247">
        <v>451.6</v>
      </c>
      <c r="AR32" s="2247"/>
      <c r="AS32" s="2247"/>
      <c r="AT32" s="2247">
        <v>458.7</v>
      </c>
      <c r="AU32" s="2247">
        <v>442.5</v>
      </c>
      <c r="AV32" s="2247"/>
      <c r="AW32" s="2247"/>
      <c r="AX32" s="2247"/>
      <c r="AY32" s="2247">
        <v>450</v>
      </c>
      <c r="AZ32" s="2247">
        <v>440.1</v>
      </c>
      <c r="BA32" s="2247">
        <v>444.7</v>
      </c>
      <c r="BB32" s="2248">
        <f t="shared" si="5"/>
        <v>2687.6</v>
      </c>
      <c r="BC32" s="2249">
        <v>2.6875999999999998</v>
      </c>
    </row>
    <row r="33" spans="2:55" ht="18.75" hidden="1" customHeight="1" x14ac:dyDescent="0.25">
      <c r="B33" s="774" t="s">
        <v>1456</v>
      </c>
      <c r="C33" s="3388"/>
      <c r="D33" s="3389"/>
      <c r="E33" s="775">
        <v>55.4</v>
      </c>
      <c r="N33" s="142" t="s">
        <v>1049</v>
      </c>
      <c r="O33" s="681">
        <v>4.3771599999999999</v>
      </c>
      <c r="Q33" s="765" t="e">
        <f>(O33/#REF!)^0.1-1</f>
        <v>#REF!</v>
      </c>
      <c r="U33" s="2193" t="e">
        <f t="shared" si="7"/>
        <v>#REF!</v>
      </c>
      <c r="Y33" s="2202"/>
      <c r="Z33" s="2212" t="s">
        <v>1050</v>
      </c>
      <c r="AA33" s="2213"/>
      <c r="AB33" s="2213">
        <f t="shared" si="6"/>
        <v>8.764284880106322</v>
      </c>
      <c r="AC33" s="2213">
        <f t="shared" si="6"/>
        <v>6.8073197445343627</v>
      </c>
      <c r="AD33" s="2213">
        <f t="shared" si="6"/>
        <v>7.7890773085291967</v>
      </c>
      <c r="AE33" s="2213">
        <f t="shared" si="6"/>
        <v>6.6873727611128242</v>
      </c>
      <c r="AF33" s="2213">
        <f t="shared" si="6"/>
        <v>-1.0366599779268331</v>
      </c>
      <c r="AG33" s="2213">
        <f t="shared" si="6"/>
        <v>1.539256895870738</v>
      </c>
      <c r="AH33" s="2213">
        <f t="shared" si="6"/>
        <v>7.5354893726093319</v>
      </c>
      <c r="AI33" s="2213">
        <f t="shared" si="6"/>
        <v>1.8480286136477828</v>
      </c>
      <c r="AJ33" s="2213">
        <f t="shared" si="6"/>
        <v>6.6382912136499774</v>
      </c>
      <c r="AK33" s="2245">
        <f t="shared" si="6"/>
        <v>3.0277641725440185</v>
      </c>
      <c r="AL33" s="2245">
        <f t="shared" si="6"/>
        <v>-1.1087716285484379</v>
      </c>
      <c r="AP33" s="2246" t="s">
        <v>1059</v>
      </c>
      <c r="AQ33" s="2247">
        <v>748.6</v>
      </c>
      <c r="AR33" s="2247"/>
      <c r="AS33" s="2247"/>
      <c r="AT33" s="2247">
        <v>732.3</v>
      </c>
      <c r="AU33" s="2247">
        <v>674.6</v>
      </c>
      <c r="AV33" s="2247"/>
      <c r="AW33" s="2247"/>
      <c r="AX33" s="2247"/>
      <c r="AY33" s="2247">
        <v>689</v>
      </c>
      <c r="AZ33" s="2247">
        <v>671.1</v>
      </c>
      <c r="BA33" s="2247">
        <v>657.2</v>
      </c>
      <c r="BB33" s="2248">
        <f t="shared" si="5"/>
        <v>4172.8</v>
      </c>
      <c r="BC33" s="2249">
        <v>4.1728000000000005</v>
      </c>
    </row>
    <row r="34" spans="2:55" ht="18.75" hidden="1" customHeight="1" x14ac:dyDescent="0.25">
      <c r="B34" s="774" t="s">
        <v>1458</v>
      </c>
      <c r="C34" s="3388"/>
      <c r="D34" s="3389"/>
      <c r="E34" s="775">
        <v>5.9</v>
      </c>
      <c r="N34" s="142" t="s">
        <v>1059</v>
      </c>
      <c r="O34" s="681">
        <v>0.20492999999999995</v>
      </c>
      <c r="Q34" s="765" t="e">
        <f>(O34/#REF!)^0.1-1</f>
        <v>#REF!</v>
      </c>
      <c r="U34" s="2193" t="e">
        <f t="shared" si="7"/>
        <v>#REF!</v>
      </c>
      <c r="Y34" s="2202"/>
      <c r="Z34" s="2212" t="s">
        <v>1051</v>
      </c>
      <c r="AA34" s="2213"/>
      <c r="AB34" s="2213">
        <f t="shared" si="6"/>
        <v>-17.176242220560376</v>
      </c>
      <c r="AC34" s="2213">
        <f t="shared" si="6"/>
        <v>-0.43725404459991296</v>
      </c>
      <c r="AD34" s="2213">
        <f t="shared" si="6"/>
        <v>-8.9199055775141272</v>
      </c>
      <c r="AE34" s="2213">
        <f t="shared" si="6"/>
        <v>-3.913828758102758</v>
      </c>
      <c r="AF34" s="2213">
        <f t="shared" si="6"/>
        <v>-3.0682807176969327</v>
      </c>
      <c r="AG34" s="2213">
        <f t="shared" si="6"/>
        <v>-5.4496993579408839</v>
      </c>
      <c r="AH34" s="2213">
        <f t="shared" si="6"/>
        <v>11.455871097970407</v>
      </c>
      <c r="AI34" s="2213">
        <f t="shared" si="6"/>
        <v>10.286433884941937</v>
      </c>
      <c r="AJ34" s="2213">
        <f t="shared" si="6"/>
        <v>16.660513891785417</v>
      </c>
      <c r="AK34" s="2245">
        <f t="shared" si="6"/>
        <v>14.162409805764886</v>
      </c>
      <c r="AL34" s="2245">
        <f t="shared" si="6"/>
        <v>4.9887396721279123</v>
      </c>
      <c r="AP34" s="2246" t="s">
        <v>1050</v>
      </c>
      <c r="AQ34" s="2247">
        <v>5473.7</v>
      </c>
      <c r="AR34" s="2247"/>
      <c r="AS34" s="2247"/>
      <c r="AT34" s="2247">
        <v>5853</v>
      </c>
      <c r="AU34" s="2247">
        <v>5342.5</v>
      </c>
      <c r="AV34" s="2247"/>
      <c r="AW34" s="2247"/>
      <c r="AX34" s="2247"/>
      <c r="AY34" s="2247">
        <v>5072.7</v>
      </c>
      <c r="AZ34" s="2247">
        <v>4577.3</v>
      </c>
      <c r="BA34" s="2247">
        <v>4597</v>
      </c>
      <c r="BB34" s="2248">
        <f t="shared" si="5"/>
        <v>30916.2</v>
      </c>
      <c r="BC34" s="2249">
        <v>30.9162</v>
      </c>
    </row>
    <row r="35" spans="2:55" ht="18.75" hidden="1" customHeight="1" x14ac:dyDescent="0.25">
      <c r="B35" s="767">
        <v>2</v>
      </c>
      <c r="C35" s="3383"/>
      <c r="D35" s="3384"/>
      <c r="E35" s="779">
        <v>0.8</v>
      </c>
      <c r="N35" s="142" t="s">
        <v>1050</v>
      </c>
      <c r="O35" s="681">
        <v>44.387729999999998</v>
      </c>
      <c r="Q35" s="765" t="e">
        <f>(O35/#REF!)^0.1-1</f>
        <v>#REF!</v>
      </c>
      <c r="U35" s="2193" t="e">
        <f t="shared" si="7"/>
        <v>#REF!</v>
      </c>
      <c r="Y35" s="2202"/>
      <c r="Z35" s="2212" t="s">
        <v>1066</v>
      </c>
      <c r="AA35" s="2213"/>
      <c r="AB35" s="2213">
        <f t="shared" si="6"/>
        <v>26.935894112092718</v>
      </c>
      <c r="AC35" s="2213">
        <f t="shared" si="6"/>
        <v>-4.339949590422175</v>
      </c>
      <c r="AD35" s="2213">
        <f t="shared" si="6"/>
        <v>8.383776492379253</v>
      </c>
      <c r="AE35" s="2213">
        <f t="shared" si="6"/>
        <v>21.395179624217747</v>
      </c>
      <c r="AF35" s="2213">
        <f t="shared" si="6"/>
        <v>3.4232929776499414</v>
      </c>
      <c r="AG35" s="2213">
        <f t="shared" si="6"/>
        <v>0.14241028832500524</v>
      </c>
      <c r="AH35" s="2213">
        <f t="shared" si="6"/>
        <v>7.8896399223017584</v>
      </c>
      <c r="AI35" s="2213">
        <f t="shared" si="6"/>
        <v>-2.830815281732908</v>
      </c>
      <c r="AJ35" s="2213">
        <f t="shared" si="6"/>
        <v>11.925291231497273</v>
      </c>
      <c r="AK35" s="2245">
        <f t="shared" si="6"/>
        <v>-5.5598811353035744</v>
      </c>
      <c r="AL35" s="2245">
        <f t="shared" si="6"/>
        <v>4.51053136942192</v>
      </c>
      <c r="AP35" s="2246" t="s">
        <v>1051</v>
      </c>
      <c r="AQ35" s="2247">
        <v>34.5</v>
      </c>
      <c r="AR35" s="2247"/>
      <c r="AS35" s="2247"/>
      <c r="AT35" s="2247">
        <v>31.2</v>
      </c>
      <c r="AU35" s="2247">
        <v>38.9</v>
      </c>
      <c r="AV35" s="2247"/>
      <c r="AW35" s="2247"/>
      <c r="AX35" s="2247"/>
      <c r="AY35" s="2247">
        <v>42.8</v>
      </c>
      <c r="AZ35" s="2247">
        <v>41.7</v>
      </c>
      <c r="BA35" s="2247">
        <v>40.1</v>
      </c>
      <c r="BB35" s="2248">
        <f t="shared" si="5"/>
        <v>229.19999999999996</v>
      </c>
      <c r="BC35" s="2249">
        <v>0.22919999999999996</v>
      </c>
    </row>
    <row r="36" spans="2:55" ht="18.75" hidden="1" customHeight="1" x14ac:dyDescent="0.25">
      <c r="B36" s="767">
        <v>3</v>
      </c>
      <c r="C36" s="3383"/>
      <c r="D36" s="3384"/>
      <c r="E36" s="779">
        <v>2.1</v>
      </c>
      <c r="N36" s="142" t="s">
        <v>1051</v>
      </c>
      <c r="O36" s="681">
        <v>0.39022000000000001</v>
      </c>
      <c r="Q36" s="765" t="e">
        <f>(O36/#REF!)^0.1-1</f>
        <v>#REF!</v>
      </c>
      <c r="U36" s="2193" t="e">
        <f t="shared" si="7"/>
        <v>#REF!</v>
      </c>
      <c r="Y36" s="2202"/>
      <c r="Z36" s="2212" t="s">
        <v>1414</v>
      </c>
      <c r="AA36" s="2213"/>
      <c r="AB36" s="2213">
        <f t="shared" si="6"/>
        <v>-7.6219547747115906</v>
      </c>
      <c r="AC36" s="2213">
        <f t="shared" si="6"/>
        <v>-7.2201296802710617</v>
      </c>
      <c r="AD36" s="2213">
        <f t="shared" si="6"/>
        <v>-13.738454166280755</v>
      </c>
      <c r="AE36" s="2213">
        <f t="shared" si="6"/>
        <v>-17.731895232287918</v>
      </c>
      <c r="AF36" s="2213">
        <f t="shared" si="6"/>
        <v>-18.557075206947271</v>
      </c>
      <c r="AG36" s="2213">
        <f t="shared" si="6"/>
        <v>-4.4071603955200143</v>
      </c>
      <c r="AH36" s="2213">
        <f t="shared" si="6"/>
        <v>11.264309609534665</v>
      </c>
      <c r="AI36" s="2213">
        <f t="shared" si="6"/>
        <v>7.8121226236878352</v>
      </c>
      <c r="AJ36" s="2213">
        <f t="shared" si="6"/>
        <v>-6.0060354193895318</v>
      </c>
      <c r="AK36" s="2245">
        <f t="shared" si="6"/>
        <v>-2.3419983589768498</v>
      </c>
      <c r="AL36" s="2245">
        <f t="shared" si="6"/>
        <v>-3.9921565045345151</v>
      </c>
      <c r="AP36" s="2246" t="s">
        <v>1415</v>
      </c>
      <c r="AQ36" s="2247">
        <v>196</v>
      </c>
      <c r="AR36" s="2247"/>
      <c r="AS36" s="2247"/>
      <c r="AT36" s="2247">
        <v>195</v>
      </c>
      <c r="AU36" s="2247">
        <v>200.1</v>
      </c>
      <c r="AV36" s="2247"/>
      <c r="AW36" s="2247"/>
      <c r="AX36" s="2247"/>
      <c r="AY36" s="2247">
        <v>178.1</v>
      </c>
      <c r="AZ36" s="2247">
        <v>235.4</v>
      </c>
      <c r="BA36" s="2247">
        <v>223.8</v>
      </c>
      <c r="BB36" s="2248">
        <f t="shared" si="5"/>
        <v>1228.4000000000001</v>
      </c>
      <c r="BC36" s="2249">
        <v>1.2284000000000002</v>
      </c>
    </row>
    <row r="37" spans="2:55" ht="18.75" hidden="1" customHeight="1" x14ac:dyDescent="0.25">
      <c r="B37" s="767">
        <v>4</v>
      </c>
      <c r="C37" s="3383"/>
      <c r="D37" s="3384"/>
      <c r="E37" s="779">
        <v>4.8</v>
      </c>
      <c r="N37" s="142" t="s">
        <v>1066</v>
      </c>
      <c r="O37" s="681">
        <v>2.3243</v>
      </c>
      <c r="Q37" s="765" t="e">
        <f>(O37/#REF!)^0.1-1</f>
        <v>#REF!</v>
      </c>
      <c r="U37" s="2193" t="e">
        <f t="shared" si="7"/>
        <v>#REF!</v>
      </c>
      <c r="Y37" s="2202"/>
      <c r="Z37" s="2212" t="s">
        <v>1054</v>
      </c>
      <c r="AA37" s="2213"/>
      <c r="AB37" s="2213">
        <f t="shared" si="6"/>
        <v>3.945229416758298</v>
      </c>
      <c r="AC37" s="2213">
        <f t="shared" si="6"/>
        <v>-8.0278064895320256</v>
      </c>
      <c r="AD37" s="2213">
        <f t="shared" si="6"/>
        <v>2.2081745041875585</v>
      </c>
      <c r="AE37" s="2213">
        <f t="shared" si="6"/>
        <v>0.81900657594134485</v>
      </c>
      <c r="AF37" s="2213">
        <f t="shared" si="6"/>
        <v>7.0733455100174831</v>
      </c>
      <c r="AG37" s="2213">
        <f t="shared" si="6"/>
        <v>1.3156754444622409</v>
      </c>
      <c r="AH37" s="2213">
        <f t="shared" si="6"/>
        <v>17.053703831855906</v>
      </c>
      <c r="AI37" s="2213">
        <f t="shared" si="6"/>
        <v>-4.1053555811103516E-2</v>
      </c>
      <c r="AJ37" s="2213">
        <f t="shared" si="6"/>
        <v>2.5330719099203458</v>
      </c>
      <c r="AK37" s="2245">
        <f t="shared" si="6"/>
        <v>10.21788080503088</v>
      </c>
      <c r="AL37" s="2245">
        <f t="shared" si="6"/>
        <v>0.18892130621961484</v>
      </c>
      <c r="AP37" s="2246" t="s">
        <v>1416</v>
      </c>
      <c r="AQ37" s="2247">
        <v>918.1</v>
      </c>
      <c r="AR37" s="2247"/>
      <c r="AS37" s="2247"/>
      <c r="AT37" s="2247">
        <v>664.9</v>
      </c>
      <c r="AU37" s="2247">
        <v>781.7</v>
      </c>
      <c r="AV37" s="2247"/>
      <c r="AW37" s="2247"/>
      <c r="AX37" s="2247"/>
      <c r="AY37" s="2247">
        <v>855.4</v>
      </c>
      <c r="AZ37" s="2247">
        <v>819.6</v>
      </c>
      <c r="BA37" s="2247">
        <v>793.2</v>
      </c>
      <c r="BB37" s="2248">
        <f t="shared" si="5"/>
        <v>4832.8999999999996</v>
      </c>
      <c r="BC37" s="2249">
        <v>4.8328999999999995</v>
      </c>
    </row>
    <row r="38" spans="2:55" ht="18" hidden="1" customHeight="1" x14ac:dyDescent="0.25">
      <c r="B38" s="767">
        <v>5</v>
      </c>
      <c r="C38" s="3383"/>
      <c r="D38" s="3384"/>
      <c r="E38" s="779">
        <v>1.6</v>
      </c>
      <c r="N38" s="142" t="s">
        <v>1414</v>
      </c>
      <c r="O38" s="681">
        <v>3.3179600000000002</v>
      </c>
      <c r="Q38" s="765" t="e">
        <f>(O38/#REF!)^0.1-1</f>
        <v>#REF!</v>
      </c>
      <c r="U38" s="2193" t="e">
        <f t="shared" si="7"/>
        <v>#REF!</v>
      </c>
      <c r="Y38" s="2202"/>
      <c r="Z38" s="2212"/>
      <c r="AA38" s="2213"/>
      <c r="AB38" s="2213"/>
      <c r="AC38" s="2213"/>
      <c r="AD38" s="2213"/>
      <c r="AE38" s="2213"/>
      <c r="AF38" s="2213"/>
      <c r="AG38" s="2213"/>
      <c r="AH38" s="2213"/>
      <c r="AI38" s="2213"/>
      <c r="AJ38" s="2213"/>
      <c r="AK38" s="2245"/>
      <c r="AL38" s="2245"/>
      <c r="AP38" s="2246" t="s">
        <v>1054</v>
      </c>
      <c r="AQ38" s="2247">
        <v>480.9</v>
      </c>
      <c r="AR38" s="2247"/>
      <c r="AS38" s="2247"/>
      <c r="AT38" s="2247">
        <v>508.7</v>
      </c>
      <c r="AU38" s="2247">
        <v>362.1</v>
      </c>
      <c r="AV38" s="2247"/>
      <c r="AW38" s="2247"/>
      <c r="AX38" s="2247"/>
      <c r="AY38" s="2247">
        <v>200.6</v>
      </c>
      <c r="AZ38" s="2247">
        <v>135.5</v>
      </c>
      <c r="BA38" s="2247">
        <v>186.5</v>
      </c>
      <c r="BB38" s="2248">
        <f t="shared" si="5"/>
        <v>1874.2999999999997</v>
      </c>
      <c r="BC38" s="2249">
        <v>1.8742999999999996</v>
      </c>
    </row>
    <row r="39" spans="2:55" ht="18.75" hidden="1" customHeight="1" x14ac:dyDescent="0.25">
      <c r="B39" s="767">
        <v>6</v>
      </c>
      <c r="C39" s="777"/>
      <c r="D39" s="778"/>
      <c r="E39" s="779">
        <v>6.3</v>
      </c>
      <c r="N39" s="142" t="s">
        <v>1054</v>
      </c>
      <c r="O39" s="681">
        <v>3.8367100000000001</v>
      </c>
      <c r="Q39" s="765" t="e">
        <f>(O39/#REF!)^0.1-1</f>
        <v>#REF!</v>
      </c>
      <c r="U39" s="2193" t="e">
        <f t="shared" si="7"/>
        <v>#REF!</v>
      </c>
      <c r="Y39" s="2202"/>
      <c r="Z39" s="2212"/>
      <c r="AA39" s="2213"/>
      <c r="AB39" s="2213"/>
      <c r="AC39" s="2213"/>
      <c r="AD39" s="2213"/>
      <c r="AE39" s="2213"/>
      <c r="AF39" s="2213"/>
      <c r="AG39" s="2213"/>
      <c r="AH39" s="2213"/>
      <c r="AI39" s="2213"/>
      <c r="AJ39" s="2213"/>
      <c r="AK39" s="2245"/>
      <c r="AL39" s="2245"/>
      <c r="AP39" s="2246" t="s">
        <v>1417</v>
      </c>
      <c r="AQ39" s="2247">
        <v>457.3</v>
      </c>
      <c r="AR39" s="2247"/>
      <c r="AS39" s="2247"/>
      <c r="AT39" s="2247">
        <v>483.5</v>
      </c>
      <c r="AU39" s="2247">
        <v>522.70000000000005</v>
      </c>
      <c r="AV39" s="2247"/>
      <c r="AW39" s="2247"/>
      <c r="AX39" s="2247"/>
      <c r="AY39" s="2247">
        <v>494.5</v>
      </c>
      <c r="AZ39" s="2247">
        <v>416.1</v>
      </c>
      <c r="BA39" s="2247">
        <v>497.3</v>
      </c>
      <c r="BB39" s="2248">
        <f t="shared" si="5"/>
        <v>2871.4</v>
      </c>
      <c r="BC39" s="2249">
        <v>2.8714</v>
      </c>
    </row>
    <row r="40" spans="2:55" ht="18.75" hidden="1" customHeight="1" x14ac:dyDescent="0.25">
      <c r="B40" s="767">
        <v>7</v>
      </c>
      <c r="C40" s="3383"/>
      <c r="D40" s="3384"/>
      <c r="E40" s="779">
        <v>0.3</v>
      </c>
      <c r="N40" s="142" t="s">
        <v>1157</v>
      </c>
      <c r="O40" s="681">
        <v>10.719799999999999</v>
      </c>
      <c r="Q40" s="765" t="e">
        <f>(O40/#REF!)^0.1-1</f>
        <v>#REF!</v>
      </c>
      <c r="U40" s="2193" t="e">
        <f t="shared" si="7"/>
        <v>#REF!</v>
      </c>
      <c r="Y40" s="2202"/>
      <c r="Z40" s="2212" t="s">
        <v>1157</v>
      </c>
      <c r="AA40" s="2251"/>
      <c r="AB40" s="2213">
        <f t="shared" ref="AB40:AL42" si="8">(AB15-AA15)/AA15*100</f>
        <v>6.8233424159854685</v>
      </c>
      <c r="AC40" s="2213">
        <f t="shared" si="8"/>
        <v>-24.352064133124838</v>
      </c>
      <c r="AD40" s="2213">
        <f t="shared" si="8"/>
        <v>23.18761534601818</v>
      </c>
      <c r="AE40" s="2213">
        <f t="shared" si="8"/>
        <v>65.125422043555332</v>
      </c>
      <c r="AF40" s="2213">
        <f t="shared" si="8"/>
        <v>15.993002885304385</v>
      </c>
      <c r="AG40" s="2213">
        <f t="shared" si="8"/>
        <v>23.832304395977914</v>
      </c>
      <c r="AH40" s="2213">
        <f t="shared" si="8"/>
        <v>32.560451333574761</v>
      </c>
      <c r="AI40" s="2213">
        <f t="shared" si="8"/>
        <v>24.182316780611128</v>
      </c>
      <c r="AJ40" s="2213">
        <f t="shared" si="8"/>
        <v>7.0636940465938363</v>
      </c>
      <c r="AK40" s="2245">
        <f t="shared" si="8"/>
        <v>-16.80182578499813</v>
      </c>
      <c r="AL40" s="2245">
        <f t="shared" si="8"/>
        <v>1.6969462908186044</v>
      </c>
      <c r="AP40" s="2246" t="s">
        <v>148</v>
      </c>
      <c r="AQ40" s="2247">
        <v>468.9</v>
      </c>
      <c r="AR40" s="2247"/>
      <c r="AS40" s="2247"/>
      <c r="AT40" s="2247">
        <v>429.8</v>
      </c>
      <c r="AU40" s="2247">
        <v>451.2</v>
      </c>
      <c r="AV40" s="2247"/>
      <c r="AW40" s="2247"/>
      <c r="AX40" s="2247"/>
      <c r="AY40" s="2247">
        <v>359</v>
      </c>
      <c r="AZ40" s="2247">
        <v>450.7</v>
      </c>
      <c r="BA40" s="2247">
        <v>372.3</v>
      </c>
      <c r="BB40" s="2248">
        <f t="shared" si="5"/>
        <v>2531.9</v>
      </c>
      <c r="BC40" s="2249">
        <v>2.5319000000000003</v>
      </c>
    </row>
    <row r="41" spans="2:55" ht="18.75" hidden="1" customHeight="1" x14ac:dyDescent="0.25">
      <c r="B41" s="767">
        <v>8</v>
      </c>
      <c r="C41" s="3383"/>
      <c r="D41" s="3384"/>
      <c r="E41" s="779">
        <v>6.3</v>
      </c>
      <c r="N41" s="142" t="s">
        <v>148</v>
      </c>
      <c r="O41" s="681">
        <v>6.5890500000000003</v>
      </c>
      <c r="Q41" s="765" t="e">
        <f>(O41/#REF!)^0.1-1</f>
        <v>#REF!</v>
      </c>
      <c r="U41" s="2193" t="e">
        <f t="shared" si="7"/>
        <v>#REF!</v>
      </c>
      <c r="Y41" s="2202"/>
      <c r="Z41" s="2212" t="s">
        <v>148</v>
      </c>
      <c r="AA41" s="2213"/>
      <c r="AB41" s="2213">
        <f t="shared" si="8"/>
        <v>13.693314217541328</v>
      </c>
      <c r="AC41" s="2213">
        <f t="shared" si="8"/>
        <v>-15.391452485001111</v>
      </c>
      <c r="AD41" s="2213">
        <f t="shared" si="8"/>
        <v>7.7207749277759907</v>
      </c>
      <c r="AE41" s="2213">
        <f t="shared" si="8"/>
        <v>11.88731176456697</v>
      </c>
      <c r="AF41" s="2213">
        <f t="shared" si="8"/>
        <v>8.1207451287186085</v>
      </c>
      <c r="AG41" s="2213">
        <f t="shared" si="8"/>
        <v>-1.4441793108912566</v>
      </c>
      <c r="AH41" s="2213">
        <f t="shared" si="8"/>
        <v>8.2121987917987731</v>
      </c>
      <c r="AI41" s="2213">
        <f t="shared" si="8"/>
        <v>3.801688806289647</v>
      </c>
      <c r="AJ41" s="2213">
        <f t="shared" si="8"/>
        <v>26.472922131712462</v>
      </c>
      <c r="AK41" s="2245">
        <f t="shared" si="8"/>
        <v>40.597197802271232</v>
      </c>
      <c r="AL41" s="2245">
        <f t="shared" si="8"/>
        <v>-3.0387567055193081</v>
      </c>
    </row>
    <row r="42" spans="2:55" ht="18.75" hidden="1" customHeight="1" x14ac:dyDescent="0.25">
      <c r="B42" s="781"/>
      <c r="C42" s="3385"/>
      <c r="D42" s="3385"/>
      <c r="E42" s="782">
        <f>+SUM(E30:E41)</f>
        <v>99.999999999999986</v>
      </c>
      <c r="O42" s="681">
        <f>SUM(O30:O41)</f>
        <v>117.72859999999999</v>
      </c>
      <c r="Q42" s="765" t="e">
        <f>(O42/#REF!)^0.1-1</f>
        <v>#REF!</v>
      </c>
      <c r="U42" s="2193" t="e">
        <f t="shared" si="7"/>
        <v>#REF!</v>
      </c>
      <c r="Y42" s="2202"/>
      <c r="Z42" s="2225" t="s">
        <v>1029</v>
      </c>
      <c r="AA42" s="2226">
        <f>SUM(AA29:AA41)</f>
        <v>0</v>
      </c>
      <c r="AB42" s="2226">
        <f t="shared" si="8"/>
        <v>3.1501456367286766</v>
      </c>
      <c r="AC42" s="2226">
        <f t="shared" si="8"/>
        <v>2.3462404495540112</v>
      </c>
      <c r="AD42" s="2226">
        <f t="shared" si="8"/>
        <v>5.0277617444615084</v>
      </c>
      <c r="AE42" s="2226">
        <f t="shared" si="8"/>
        <v>6.0248994959268991</v>
      </c>
      <c r="AF42" s="2226">
        <f t="shared" si="8"/>
        <v>0.85945318606539478</v>
      </c>
      <c r="AG42" s="2226">
        <f t="shared" si="8"/>
        <v>4.490503065321116</v>
      </c>
      <c r="AH42" s="2226">
        <f t="shared" si="8"/>
        <v>11.571877098722085</v>
      </c>
      <c r="AI42" s="2226">
        <f t="shared" si="8"/>
        <v>5.3734526133763874</v>
      </c>
      <c r="AJ42" s="2226">
        <f t="shared" si="8"/>
        <v>5.9450472047528811</v>
      </c>
      <c r="AK42" s="2226">
        <f t="shared" si="8"/>
        <v>3.4196165534521912</v>
      </c>
      <c r="AL42" s="2226">
        <f t="shared" si="8"/>
        <v>0.42696895833300735</v>
      </c>
    </row>
    <row r="43" spans="2:55" ht="18.75" hidden="1" customHeight="1" x14ac:dyDescent="0.25">
      <c r="B43" s="783"/>
      <c r="Q43" s="765"/>
      <c r="Y43" s="2202"/>
    </row>
    <row r="44" spans="2:55" ht="18.75" hidden="1" customHeight="1" x14ac:dyDescent="0.25">
      <c r="B44" s="783"/>
      <c r="Q44" s="765"/>
      <c r="Y44" s="2202"/>
      <c r="AA44" s="2210"/>
      <c r="AB44" s="2210"/>
      <c r="AC44" s="2210"/>
      <c r="AD44" s="2210"/>
      <c r="AE44" s="2210"/>
      <c r="AF44" s="2210"/>
      <c r="AG44" s="2210"/>
      <c r="AH44" s="2210"/>
      <c r="AI44" s="2210"/>
      <c r="AJ44" s="2210"/>
      <c r="AK44" s="2210"/>
      <c r="AL44" s="2210"/>
    </row>
    <row r="45" spans="2:55" ht="2.25" hidden="1" customHeight="1" x14ac:dyDescent="0.25">
      <c r="B45" s="783"/>
      <c r="Q45" s="765"/>
      <c r="Y45" s="2202"/>
    </row>
    <row r="46" spans="2:55" ht="173.25" hidden="1" customHeight="1" x14ac:dyDescent="0.25">
      <c r="B46" s="3386" t="s">
        <v>1466</v>
      </c>
      <c r="C46" s="3387"/>
      <c r="D46" s="3387"/>
      <c r="E46" s="3387"/>
      <c r="F46" s="3387"/>
      <c r="Q46" s="765"/>
      <c r="Y46" s="2202"/>
    </row>
    <row r="47" spans="2:55" x14ac:dyDescent="0.25">
      <c r="B47" s="783"/>
      <c r="Q47" s="765"/>
      <c r="Y47" s="2202"/>
    </row>
    <row r="48" spans="2:55" x14ac:dyDescent="0.25">
      <c r="B48" s="783"/>
      <c r="Q48" s="765"/>
      <c r="Y48" s="2202"/>
    </row>
    <row r="49" spans="2:25" x14ac:dyDescent="0.25">
      <c r="B49" s="783"/>
      <c r="Q49" s="765"/>
      <c r="Y49" s="2202"/>
    </row>
    <row r="50" spans="2:25" x14ac:dyDescent="0.25">
      <c r="B50" s="783"/>
      <c r="Q50" s="765"/>
      <c r="Y50" s="2202"/>
    </row>
    <row r="51" spans="2:25" x14ac:dyDescent="0.25">
      <c r="B51" s="783"/>
      <c r="Q51" s="765"/>
      <c r="Y51" s="2202"/>
    </row>
    <row r="52" spans="2:25" x14ac:dyDescent="0.25">
      <c r="B52" s="783"/>
      <c r="Q52" s="765"/>
      <c r="Y52" s="2202"/>
    </row>
    <row r="53" spans="2:25" x14ac:dyDescent="0.25">
      <c r="B53" s="783"/>
      <c r="Q53" s="765"/>
      <c r="Y53" s="2202"/>
    </row>
    <row r="54" spans="2:25" x14ac:dyDescent="0.25">
      <c r="B54" s="783"/>
      <c r="Q54" s="765"/>
      <c r="Y54" s="2202"/>
    </row>
    <row r="55" spans="2:25" x14ac:dyDescent="0.25">
      <c r="B55" s="783"/>
      <c r="Q55" s="765"/>
      <c r="Y55" s="2202"/>
    </row>
    <row r="56" spans="2:25" x14ac:dyDescent="0.25">
      <c r="B56" s="783"/>
      <c r="Q56" s="765"/>
      <c r="Y56" s="2202"/>
    </row>
    <row r="57" spans="2:25" x14ac:dyDescent="0.25">
      <c r="B57" s="783"/>
      <c r="Q57" s="765"/>
      <c r="Y57" s="2202"/>
    </row>
    <row r="58" spans="2:25" x14ac:dyDescent="0.25">
      <c r="B58" s="783"/>
      <c r="Q58" s="765"/>
      <c r="Y58" s="2202"/>
    </row>
    <row r="59" spans="2:25" x14ac:dyDescent="0.25">
      <c r="B59" s="783"/>
      <c r="Q59" s="765"/>
      <c r="Y59" s="2202"/>
    </row>
    <row r="60" spans="2:25" x14ac:dyDescent="0.25">
      <c r="B60" s="783"/>
      <c r="Q60" s="765"/>
      <c r="Y60" s="2202"/>
    </row>
    <row r="61" spans="2:25" x14ac:dyDescent="0.25">
      <c r="B61" s="783"/>
      <c r="Q61" s="765"/>
      <c r="Y61" s="2202"/>
    </row>
    <row r="62" spans="2:25" x14ac:dyDescent="0.25">
      <c r="B62" s="783"/>
      <c r="Q62" s="765"/>
      <c r="Y62" s="2202"/>
    </row>
    <row r="63" spans="2:25" x14ac:dyDescent="0.25">
      <c r="B63" s="783"/>
      <c r="Q63" s="765"/>
      <c r="Y63" s="2202"/>
    </row>
    <row r="64" spans="2:25" x14ac:dyDescent="0.25">
      <c r="B64" s="783"/>
      <c r="Q64" s="765"/>
      <c r="Y64" s="2202"/>
    </row>
    <row r="65" spans="2:25" ht="15.75" thickBot="1" x14ac:dyDescent="0.3">
      <c r="B65" s="784"/>
      <c r="C65" s="785"/>
      <c r="D65" s="785"/>
      <c r="E65" s="785"/>
      <c r="F65" s="785"/>
      <c r="G65" s="785"/>
      <c r="H65" s="785"/>
      <c r="I65" s="785"/>
      <c r="J65" s="785"/>
      <c r="K65" s="785"/>
      <c r="L65" s="786"/>
      <c r="M65" s="786"/>
      <c r="N65" s="786"/>
      <c r="O65" s="786"/>
      <c r="P65" s="786"/>
      <c r="Q65" s="787"/>
      <c r="S65" s="2223"/>
      <c r="T65" s="2223"/>
      <c r="U65" s="2223"/>
      <c r="V65" s="2223"/>
      <c r="W65" s="2223"/>
      <c r="X65" s="2223"/>
      <c r="Y65" s="2252"/>
    </row>
  </sheetData>
  <mergeCells count="25">
    <mergeCell ref="B2:Q2"/>
    <mergeCell ref="Z2:AQ2"/>
    <mergeCell ref="B3:Q3"/>
    <mergeCell ref="Z3:AQ3"/>
    <mergeCell ref="B26:K26"/>
    <mergeCell ref="Z26:AL26"/>
    <mergeCell ref="AP26:AT27"/>
    <mergeCell ref="B27:K27"/>
    <mergeCell ref="Z27:AL27"/>
    <mergeCell ref="BB28:BC28"/>
    <mergeCell ref="C29:D29"/>
    <mergeCell ref="C30:D30"/>
    <mergeCell ref="C31:D31"/>
    <mergeCell ref="C40:D40"/>
    <mergeCell ref="C32:D32"/>
    <mergeCell ref="C28:D28"/>
    <mergeCell ref="C41:D41"/>
    <mergeCell ref="C42:D42"/>
    <mergeCell ref="B46:F46"/>
    <mergeCell ref="C33:D33"/>
    <mergeCell ref="C34:D34"/>
    <mergeCell ref="C35:D35"/>
    <mergeCell ref="C36:D36"/>
    <mergeCell ref="C37:D37"/>
    <mergeCell ref="C38:D38"/>
  </mergeCells>
  <pageMargins left="0.70866141732283472" right="0.70866141732283472" top="0.74803149606299213" bottom="0.74803149606299213" header="0.31496062992125984" footer="0.31496062992125984"/>
  <pageSetup paperSize="9" scale="22" orientation="landscape" r:id="rId1"/>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7730E4-2981-42A0-AE1B-0EB4B8AC8180}">
  <sheetPr>
    <tabColor rgb="FF00B050"/>
    <pageSetUpPr fitToPage="1"/>
  </sheetPr>
  <dimension ref="D2:AA46"/>
  <sheetViews>
    <sheetView zoomScale="55" zoomScaleNormal="55" workbookViewId="0">
      <selection activeCell="X16" sqref="X16"/>
    </sheetView>
  </sheetViews>
  <sheetFormatPr defaultRowHeight="15" x14ac:dyDescent="0.25"/>
  <cols>
    <col min="3" max="3" width="15.28515625" customWidth="1"/>
    <col min="23" max="23" width="10.7109375" customWidth="1"/>
    <col min="24" max="24" width="20.28515625" customWidth="1"/>
    <col min="25" max="25" width="17.7109375" customWidth="1"/>
    <col min="26" max="26" width="11.7109375" bestFit="1" customWidth="1"/>
  </cols>
  <sheetData>
    <row r="2" spans="4:18" ht="15.75" thickBot="1" x14ac:dyDescent="0.3"/>
    <row r="3" spans="4:18" ht="18.75" x14ac:dyDescent="0.3">
      <c r="D3" s="512"/>
      <c r="E3" s="3410" t="s">
        <v>2362</v>
      </c>
      <c r="F3" s="3410"/>
      <c r="G3" s="3410"/>
      <c r="H3" s="3410"/>
      <c r="I3" s="3410"/>
      <c r="J3" s="3410"/>
      <c r="K3" s="3410"/>
      <c r="L3" s="3410"/>
      <c r="M3" s="3410"/>
      <c r="N3" s="3410"/>
      <c r="O3" s="3410"/>
      <c r="P3" s="3410"/>
      <c r="Q3" s="3410"/>
      <c r="R3" s="513"/>
    </row>
    <row r="4" spans="4:18" x14ac:dyDescent="0.25">
      <c r="D4" s="110"/>
      <c r="R4" s="111"/>
    </row>
    <row r="5" spans="4:18" x14ac:dyDescent="0.25">
      <c r="D5" s="110"/>
      <c r="R5" s="111"/>
    </row>
    <row r="6" spans="4:18" x14ac:dyDescent="0.25">
      <c r="D6" s="110"/>
      <c r="R6" s="111"/>
    </row>
    <row r="7" spans="4:18" x14ac:dyDescent="0.25">
      <c r="D7" s="110"/>
      <c r="R7" s="111"/>
    </row>
    <row r="8" spans="4:18" x14ac:dyDescent="0.25">
      <c r="D8" s="110"/>
      <c r="R8" s="111"/>
    </row>
    <row r="9" spans="4:18" x14ac:dyDescent="0.25">
      <c r="D9" s="110"/>
      <c r="R9" s="111"/>
    </row>
    <row r="10" spans="4:18" x14ac:dyDescent="0.25">
      <c r="D10" s="110"/>
      <c r="R10" s="111"/>
    </row>
    <row r="11" spans="4:18" x14ac:dyDescent="0.25">
      <c r="D11" s="110"/>
      <c r="R11" s="111"/>
    </row>
    <row r="12" spans="4:18" x14ac:dyDescent="0.25">
      <c r="D12" s="110"/>
      <c r="R12" s="111"/>
    </row>
    <row r="13" spans="4:18" x14ac:dyDescent="0.25">
      <c r="D13" s="110"/>
      <c r="R13" s="111"/>
    </row>
    <row r="14" spans="4:18" x14ac:dyDescent="0.25">
      <c r="D14" s="110"/>
      <c r="R14" s="111"/>
    </row>
    <row r="15" spans="4:18" x14ac:dyDescent="0.25">
      <c r="D15" s="110"/>
      <c r="R15" s="111"/>
    </row>
    <row r="16" spans="4:18" x14ac:dyDescent="0.25">
      <c r="D16" s="110"/>
      <c r="R16" s="111"/>
    </row>
    <row r="17" spans="4:27" x14ac:dyDescent="0.25">
      <c r="D17" s="110"/>
      <c r="R17" s="111"/>
    </row>
    <row r="18" spans="4:27" x14ac:dyDescent="0.25">
      <c r="D18" s="110"/>
      <c r="R18" s="111"/>
    </row>
    <row r="19" spans="4:27" x14ac:dyDescent="0.25">
      <c r="D19" s="110"/>
      <c r="R19" s="111"/>
    </row>
    <row r="20" spans="4:27" x14ac:dyDescent="0.25">
      <c r="D20" s="110"/>
      <c r="R20" s="111"/>
    </row>
    <row r="21" spans="4:27" x14ac:dyDescent="0.25">
      <c r="D21" s="110"/>
      <c r="R21" s="111"/>
    </row>
    <row r="22" spans="4:27" x14ac:dyDescent="0.25">
      <c r="D22" s="110"/>
      <c r="R22" s="111"/>
    </row>
    <row r="23" spans="4:27" x14ac:dyDescent="0.25">
      <c r="D23" s="110"/>
      <c r="R23" s="111"/>
    </row>
    <row r="24" spans="4:27" x14ac:dyDescent="0.25">
      <c r="D24" s="110"/>
      <c r="R24" s="111"/>
    </row>
    <row r="25" spans="4:27" x14ac:dyDescent="0.25">
      <c r="D25" s="110"/>
      <c r="R25" s="111"/>
    </row>
    <row r="26" spans="4:27" x14ac:dyDescent="0.25">
      <c r="D26" s="110"/>
      <c r="R26" s="111"/>
    </row>
    <row r="27" spans="4:27" x14ac:dyDescent="0.25">
      <c r="D27" s="110"/>
      <c r="R27" s="111"/>
    </row>
    <row r="28" spans="4:27" ht="18.75" x14ac:dyDescent="0.3">
      <c r="D28" s="110"/>
      <c r="R28" s="111"/>
      <c r="W28" s="1469" t="s">
        <v>1150</v>
      </c>
      <c r="X28" s="1469" t="s">
        <v>2424</v>
      </c>
      <c r="Y28" s="1469" t="s">
        <v>2425</v>
      </c>
      <c r="Z28" s="1470"/>
    </row>
    <row r="29" spans="4:27" ht="18.75" x14ac:dyDescent="0.3">
      <c r="D29" s="110"/>
      <c r="R29" s="111"/>
      <c r="W29" s="1471" t="s">
        <v>112</v>
      </c>
      <c r="X29" s="1472">
        <v>16.226922869423912</v>
      </c>
      <c r="Y29" s="1473">
        <f>AA29/1000</f>
        <v>15.024965359230183</v>
      </c>
      <c r="Z29" s="1470"/>
      <c r="AA29">
        <v>15024.965359230184</v>
      </c>
    </row>
    <row r="30" spans="4:27" ht="18.75" x14ac:dyDescent="0.3">
      <c r="D30" s="110"/>
      <c r="R30" s="111"/>
      <c r="W30" s="1471" t="s">
        <v>1045</v>
      </c>
      <c r="X30" s="1472">
        <v>21.189529138211345</v>
      </c>
      <c r="Y30" s="1473">
        <f t="shared" ref="Y30:Y40" si="0">AA30/1000</f>
        <v>19.849677084812022</v>
      </c>
      <c r="Z30" s="1470"/>
      <c r="AA30">
        <v>19849.677084812021</v>
      </c>
    </row>
    <row r="31" spans="4:27" ht="20.25" customHeight="1" x14ac:dyDescent="0.3">
      <c r="D31" s="110"/>
      <c r="R31" s="111"/>
      <c r="W31" s="1471" t="s">
        <v>1046</v>
      </c>
      <c r="X31" s="1472">
        <v>5.8193186876000009</v>
      </c>
      <c r="Y31" s="1473">
        <f t="shared" si="0"/>
        <v>6.718429983</v>
      </c>
      <c r="Z31" s="1470"/>
      <c r="AA31">
        <v>6718.429983</v>
      </c>
    </row>
    <row r="32" spans="4:27" ht="18.75" x14ac:dyDescent="0.3">
      <c r="D32" s="110"/>
      <c r="R32" s="111"/>
      <c r="W32" s="1471" t="s">
        <v>1049</v>
      </c>
      <c r="X32" s="1472">
        <v>4.418051165151649</v>
      </c>
      <c r="Y32" s="1473">
        <f t="shared" si="0"/>
        <v>4.3771471850249455</v>
      </c>
      <c r="Z32" s="1470"/>
      <c r="AA32">
        <v>4377.1471850249454</v>
      </c>
    </row>
    <row r="33" spans="4:27" ht="18.75" x14ac:dyDescent="0.3">
      <c r="D33" s="110"/>
      <c r="R33" s="111"/>
      <c r="W33" s="1471" t="s">
        <v>1059</v>
      </c>
      <c r="X33" s="1472">
        <v>0.21243230886963319</v>
      </c>
      <c r="Y33" s="1473">
        <f t="shared" si="0"/>
        <v>0.20493509758132297</v>
      </c>
      <c r="Z33" s="1470"/>
      <c r="AA33">
        <v>204.93509758132296</v>
      </c>
    </row>
    <row r="34" spans="4:27" ht="18.75" x14ac:dyDescent="0.3">
      <c r="D34" s="110"/>
      <c r="R34" s="111"/>
      <c r="W34" s="1471" t="s">
        <v>1050</v>
      </c>
      <c r="X34" s="1472">
        <v>45.68648848386924</v>
      </c>
      <c r="Y34" s="1473">
        <f t="shared" si="0"/>
        <v>44.382406657722527</v>
      </c>
      <c r="Z34" s="1470"/>
      <c r="AA34">
        <v>44382.406657722524</v>
      </c>
    </row>
    <row r="35" spans="4:27" ht="18.75" x14ac:dyDescent="0.3">
      <c r="D35" s="110"/>
      <c r="R35" s="111"/>
      <c r="W35" s="1471" t="s">
        <v>1051</v>
      </c>
      <c r="X35" s="1472">
        <v>0.50910986834119953</v>
      </c>
      <c r="Y35" s="1473">
        <f t="shared" si="0"/>
        <v>0.3902247729982935</v>
      </c>
      <c r="Z35" s="1470"/>
      <c r="AA35">
        <v>390.22477299829347</v>
      </c>
    </row>
    <row r="36" spans="4:27" ht="18.75" x14ac:dyDescent="0.3">
      <c r="D36" s="110"/>
      <c r="R36" s="111"/>
      <c r="W36" s="1471" t="s">
        <v>1066</v>
      </c>
      <c r="X36" s="1472">
        <v>2.3130065895317813</v>
      </c>
      <c r="Y36" s="1473">
        <f t="shared" si="0"/>
        <v>2.3232279004766916</v>
      </c>
      <c r="Z36" s="1470"/>
      <c r="AA36">
        <v>2323.2279004766915</v>
      </c>
    </row>
    <row r="37" spans="4:27" ht="15" customHeight="1" x14ac:dyDescent="0.3">
      <c r="D37" s="110"/>
      <c r="R37" s="111"/>
      <c r="W37" s="1471" t="s">
        <v>1414</v>
      </c>
      <c r="X37" s="1472">
        <v>3.0147806165493476</v>
      </c>
      <c r="Y37" s="1473">
        <f t="shared" si="0"/>
        <v>3.2953254190207275</v>
      </c>
      <c r="Z37" s="1470"/>
      <c r="AA37">
        <v>3295.3254190207276</v>
      </c>
    </row>
    <row r="38" spans="4:27" ht="37.5" x14ac:dyDescent="0.3">
      <c r="D38" s="110"/>
      <c r="R38" s="111"/>
      <c r="W38" s="1471" t="s">
        <v>1054</v>
      </c>
      <c r="X38" s="1472">
        <v>3.7775096927999869</v>
      </c>
      <c r="Y38" s="1473">
        <f t="shared" si="0"/>
        <v>3.6294260564999998</v>
      </c>
      <c r="Z38" s="1470"/>
      <c r="AA38">
        <v>3629.4260565</v>
      </c>
    </row>
    <row r="39" spans="4:27" ht="18.75" x14ac:dyDescent="0.3">
      <c r="D39" s="110"/>
      <c r="R39" s="111"/>
      <c r="W39" s="1471" t="s">
        <v>1157</v>
      </c>
      <c r="X39" s="1472">
        <v>10.450378695199969</v>
      </c>
      <c r="Y39" s="1473">
        <f t="shared" si="0"/>
        <v>10.365617515000002</v>
      </c>
      <c r="Z39" s="1470"/>
      <c r="AA39">
        <v>10365.617515000002</v>
      </c>
    </row>
    <row r="40" spans="4:27" ht="18.75" x14ac:dyDescent="0.3">
      <c r="D40" s="110"/>
      <c r="R40" s="111"/>
      <c r="W40" s="1471" t="s">
        <v>1422</v>
      </c>
      <c r="X40" s="1472">
        <v>5.1722600111357782</v>
      </c>
      <c r="Y40" s="1473">
        <f t="shared" si="0"/>
        <v>6.5318574245928955</v>
      </c>
      <c r="Z40" s="1470"/>
      <c r="AA40">
        <v>6531.8574245928958</v>
      </c>
    </row>
    <row r="41" spans="4:27" ht="37.5" x14ac:dyDescent="0.3">
      <c r="D41" s="110"/>
      <c r="R41" s="111"/>
      <c r="W41" s="1474" t="s">
        <v>1029</v>
      </c>
      <c r="X41" s="1475">
        <v>118.78978812668385</v>
      </c>
      <c r="Y41" s="1476">
        <f>+SUM(Y29:Y40)</f>
        <v>117.0932404559596</v>
      </c>
      <c r="Z41" s="1470"/>
    </row>
    <row r="42" spans="4:27" ht="18.75" x14ac:dyDescent="0.3">
      <c r="D42" s="110"/>
      <c r="R42" s="111"/>
      <c r="W42" s="1470"/>
      <c r="X42" s="1470"/>
      <c r="Y42" s="1470"/>
      <c r="Z42" s="1470"/>
    </row>
    <row r="43" spans="4:27" ht="18.75" x14ac:dyDescent="0.3">
      <c r="D43" s="110"/>
      <c r="R43" s="111"/>
      <c r="W43" s="1470"/>
      <c r="X43" s="1470"/>
      <c r="Y43" s="1470"/>
      <c r="Z43" s="1470"/>
    </row>
    <row r="44" spans="4:27" ht="18.75" x14ac:dyDescent="0.3">
      <c r="D44" s="110"/>
      <c r="R44" s="111"/>
      <c r="W44" s="1470"/>
      <c r="X44" s="1470"/>
      <c r="Y44" s="1470"/>
      <c r="Z44" s="1470"/>
    </row>
    <row r="45" spans="4:27" ht="19.5" thickBot="1" x14ac:dyDescent="0.35">
      <c r="D45" s="99"/>
      <c r="E45" s="100"/>
      <c r="F45" s="100"/>
      <c r="G45" s="100"/>
      <c r="H45" s="100"/>
      <c r="I45" s="100"/>
      <c r="J45" s="100"/>
      <c r="K45" s="100"/>
      <c r="L45" s="100"/>
      <c r="M45" s="100"/>
      <c r="N45" s="100"/>
      <c r="O45" s="100"/>
      <c r="P45" s="100"/>
      <c r="Q45" s="100"/>
      <c r="R45" s="516"/>
      <c r="W45" s="1470"/>
      <c r="X45" s="1470"/>
      <c r="Y45" s="1470"/>
      <c r="Z45" s="1470"/>
    </row>
    <row r="46" spans="4:27" ht="18.75" x14ac:dyDescent="0.3">
      <c r="W46" s="1470"/>
      <c r="X46" s="1470"/>
      <c r="Y46" s="1470"/>
      <c r="Z46" s="1470"/>
    </row>
  </sheetData>
  <mergeCells count="1">
    <mergeCell ref="E3:Q3"/>
  </mergeCells>
  <pageMargins left="0.70866141732283472" right="0.70866141732283472" top="0.74803149606299213" bottom="0.74803149606299213" header="0.31496062992125984" footer="0.31496062992125984"/>
  <pageSetup paperSize="9" scale="63" orientation="portrait" r:id="rId1"/>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658B80-8D7C-4FAF-A0DB-AD4216FFCE27}">
  <sheetPr>
    <tabColor theme="0"/>
    <pageSetUpPr fitToPage="1"/>
  </sheetPr>
  <dimension ref="B1:O64"/>
  <sheetViews>
    <sheetView view="pageLayout" topLeftCell="A4" zoomScale="80" zoomScaleNormal="100" zoomScalePageLayoutView="80" workbookViewId="0">
      <selection activeCell="B81" sqref="B81"/>
    </sheetView>
  </sheetViews>
  <sheetFormatPr defaultRowHeight="15" x14ac:dyDescent="0.25"/>
  <cols>
    <col min="2" max="2" width="6" customWidth="1"/>
    <col min="3" max="3" width="16.7109375" customWidth="1"/>
    <col min="4" max="4" width="16" customWidth="1"/>
  </cols>
  <sheetData>
    <row r="1" spans="2:15" ht="15.75" thickBot="1" x14ac:dyDescent="0.3"/>
    <row r="2" spans="2:15" ht="23.25" customHeight="1" x14ac:dyDescent="0.25">
      <c r="B2" s="3377" t="s">
        <v>111</v>
      </c>
      <c r="C2" s="3378"/>
      <c r="D2" s="3378"/>
      <c r="E2" s="3378"/>
      <c r="F2" s="3378"/>
      <c r="G2" s="3378"/>
      <c r="H2" s="3378"/>
      <c r="I2" s="3378"/>
      <c r="J2" s="3378"/>
      <c r="K2" s="3378"/>
      <c r="L2" s="3378"/>
      <c r="M2" s="3378"/>
      <c r="N2" s="3378"/>
      <c r="O2" s="3379"/>
    </row>
    <row r="3" spans="2:15" x14ac:dyDescent="0.25">
      <c r="B3" s="110"/>
      <c r="O3" s="111"/>
    </row>
    <row r="4" spans="2:15" x14ac:dyDescent="0.25">
      <c r="B4" s="145" t="s">
        <v>1467</v>
      </c>
      <c r="C4" s="146" t="s">
        <v>1468</v>
      </c>
      <c r="D4" s="146" t="s">
        <v>1469</v>
      </c>
      <c r="O4" s="111"/>
    </row>
    <row r="5" spans="2:15" x14ac:dyDescent="0.25">
      <c r="B5" s="145" t="s">
        <v>1446</v>
      </c>
      <c r="C5" s="146" t="s">
        <v>1447</v>
      </c>
      <c r="D5" s="146" t="s">
        <v>1448</v>
      </c>
      <c r="O5" s="111"/>
    </row>
    <row r="6" spans="2:15" ht="30" x14ac:dyDescent="0.25">
      <c r="B6" s="147" t="s">
        <v>1450</v>
      </c>
      <c r="C6" s="148" t="s">
        <v>1451</v>
      </c>
      <c r="D6" s="149">
        <v>2.9</v>
      </c>
      <c r="O6" s="111"/>
    </row>
    <row r="7" spans="2:15" x14ac:dyDescent="0.25">
      <c r="B7" s="147" t="s">
        <v>1452</v>
      </c>
      <c r="C7" s="148" t="s">
        <v>1453</v>
      </c>
      <c r="D7" s="149">
        <v>12.4</v>
      </c>
      <c r="O7" s="111"/>
    </row>
    <row r="8" spans="2:15" x14ac:dyDescent="0.25">
      <c r="B8" s="147" t="s">
        <v>1454</v>
      </c>
      <c r="C8" s="148" t="s">
        <v>1455</v>
      </c>
      <c r="D8" s="149">
        <v>1.2</v>
      </c>
      <c r="O8" s="111"/>
    </row>
    <row r="9" spans="2:15" x14ac:dyDescent="0.25">
      <c r="B9" s="147" t="s">
        <v>1456</v>
      </c>
      <c r="C9" s="148" t="s">
        <v>1457</v>
      </c>
      <c r="D9" s="149">
        <v>55.4</v>
      </c>
      <c r="O9" s="111"/>
    </row>
    <row r="10" spans="2:15" x14ac:dyDescent="0.25">
      <c r="B10" s="147" t="s">
        <v>1458</v>
      </c>
      <c r="C10" s="148" t="s">
        <v>1459</v>
      </c>
      <c r="D10" s="149">
        <v>5.9</v>
      </c>
      <c r="O10" s="111"/>
    </row>
    <row r="11" spans="2:15" ht="30" x14ac:dyDescent="0.25">
      <c r="B11" s="147">
        <v>2</v>
      </c>
      <c r="C11" s="150" t="s">
        <v>1460</v>
      </c>
      <c r="D11" s="151">
        <v>0.8</v>
      </c>
      <c r="O11" s="111"/>
    </row>
    <row r="12" spans="2:15" x14ac:dyDescent="0.25">
      <c r="B12" s="147">
        <v>3</v>
      </c>
      <c r="C12" s="150" t="s">
        <v>1461</v>
      </c>
      <c r="D12" s="151">
        <v>2.1</v>
      </c>
      <c r="O12" s="111"/>
    </row>
    <row r="13" spans="2:15" x14ac:dyDescent="0.25">
      <c r="B13" s="147">
        <v>4</v>
      </c>
      <c r="C13" s="150" t="s">
        <v>1462</v>
      </c>
      <c r="D13" s="151">
        <v>4.8</v>
      </c>
      <c r="O13" s="111"/>
    </row>
    <row r="14" spans="2:15" ht="30" x14ac:dyDescent="0.25">
      <c r="B14" s="147"/>
      <c r="C14" s="150" t="s">
        <v>1463</v>
      </c>
      <c r="D14" s="151">
        <v>1.6</v>
      </c>
      <c r="O14" s="111"/>
    </row>
    <row r="15" spans="2:15" ht="76.5" customHeight="1" x14ac:dyDescent="0.25">
      <c r="B15" s="1463"/>
      <c r="C15" s="150" t="s">
        <v>1464</v>
      </c>
      <c r="D15" s="151">
        <v>6.3</v>
      </c>
      <c r="O15" s="111"/>
    </row>
    <row r="16" spans="2:15" x14ac:dyDescent="0.25">
      <c r="B16" s="147">
        <v>5</v>
      </c>
      <c r="C16" s="150" t="s">
        <v>1465</v>
      </c>
      <c r="D16" s="151">
        <v>0.3</v>
      </c>
      <c r="O16" s="111"/>
    </row>
    <row r="17" spans="2:15" x14ac:dyDescent="0.25">
      <c r="B17" s="147">
        <v>6</v>
      </c>
      <c r="C17" s="150" t="s">
        <v>346</v>
      </c>
      <c r="D17" s="151">
        <v>6.3</v>
      </c>
      <c r="O17" s="111"/>
    </row>
    <row r="18" spans="2:15" x14ac:dyDescent="0.25">
      <c r="B18" s="152"/>
      <c r="C18" s="153" t="s">
        <v>133</v>
      </c>
      <c r="D18" s="154">
        <f>SUM(D6:D17)</f>
        <v>99.999999999999986</v>
      </c>
      <c r="O18" s="111"/>
    </row>
    <row r="19" spans="2:15" x14ac:dyDescent="0.25">
      <c r="B19" s="110"/>
      <c r="O19" s="111"/>
    </row>
    <row r="20" spans="2:15" x14ac:dyDescent="0.25">
      <c r="B20" s="110" t="s">
        <v>1470</v>
      </c>
      <c r="O20" s="111"/>
    </row>
    <row r="21" spans="2:15" ht="15.75" thickBot="1" x14ac:dyDescent="0.3">
      <c r="B21" s="99" t="s">
        <v>1471</v>
      </c>
      <c r="C21" s="100"/>
      <c r="D21" s="100"/>
      <c r="E21" s="100"/>
      <c r="F21" s="100"/>
      <c r="G21" s="100"/>
      <c r="H21" s="100"/>
      <c r="I21" s="100"/>
      <c r="J21" s="100"/>
      <c r="K21" s="100"/>
      <c r="L21" s="100"/>
      <c r="M21" s="100"/>
      <c r="N21" s="100"/>
      <c r="O21" s="516"/>
    </row>
    <row r="64" ht="1.5" customHeight="1" x14ac:dyDescent="0.25"/>
  </sheetData>
  <mergeCells count="1">
    <mergeCell ref="B2:O2"/>
  </mergeCells>
  <pageMargins left="0.70866141732283472" right="0.70866141732283472" top="0.74803149606299213" bottom="0.74803149606299213" header="0.31496062992125984" footer="0.31496062992125984"/>
  <pageSetup paperSize="9" scale="52" orientation="landscape" horizontalDpi="300" verticalDpi="300" r:id="rId1"/>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1A8863-61FB-4779-B352-585559DE5E6E}">
  <sheetPr>
    <tabColor theme="0"/>
  </sheetPr>
  <dimension ref="A1:AU233"/>
  <sheetViews>
    <sheetView view="pageLayout" topLeftCell="A59" zoomScale="70" zoomScaleNormal="85" zoomScaleSheetLayoutView="40" zoomScalePageLayoutView="70" workbookViewId="0">
      <selection activeCell="S15" sqref="S15"/>
    </sheetView>
  </sheetViews>
  <sheetFormatPr defaultColWidth="9.140625" defaultRowHeight="20.25" customHeight="1" x14ac:dyDescent="0.25"/>
  <cols>
    <col min="1" max="1" width="0.42578125" style="681" customWidth="1"/>
    <col min="2" max="3" width="9.140625" style="681"/>
    <col min="4" max="4" width="3.42578125" style="713" customWidth="1"/>
    <col min="5" max="5" width="11.5703125" style="713" customWidth="1"/>
    <col min="6" max="6" width="10.85546875" style="713" customWidth="1"/>
    <col min="7" max="9" width="9.7109375" style="713" customWidth="1"/>
    <col min="10" max="10" width="10.7109375" style="713" customWidth="1"/>
    <col min="11" max="16" width="9.7109375" style="713" customWidth="1"/>
    <col min="17" max="17" width="12.7109375" style="681" customWidth="1"/>
    <col min="18" max="18" width="11.28515625" style="681" customWidth="1"/>
    <col min="19" max="19" width="23.42578125" style="681" customWidth="1"/>
    <col min="20" max="23" width="9.140625" style="681"/>
    <col min="24" max="24" width="14.42578125" style="681" customWidth="1"/>
    <col min="25" max="36" width="8.5703125" style="681" customWidth="1"/>
    <col min="37" max="37" width="8.85546875" style="681" customWidth="1"/>
    <col min="38" max="38" width="9.42578125" style="681" customWidth="1"/>
    <col min="39" max="39" width="10.85546875" style="681" customWidth="1"/>
    <col min="40" max="41" width="10" style="681" customWidth="1"/>
    <col min="42" max="42" width="9.140625" style="681"/>
    <col min="43" max="43" width="20.5703125" style="681" customWidth="1"/>
    <col min="44" max="16384" width="9.140625" style="681"/>
  </cols>
  <sheetData>
    <row r="1" spans="2:47" ht="20.25" hidden="1" customHeight="1" x14ac:dyDescent="0.25">
      <c r="E1" s="760"/>
      <c r="F1" s="761"/>
      <c r="G1" s="761"/>
      <c r="H1" s="761"/>
      <c r="I1" s="761"/>
      <c r="J1" s="761"/>
      <c r="K1" s="761"/>
      <c r="L1" s="761"/>
      <c r="M1" s="761"/>
      <c r="N1" s="761"/>
      <c r="O1" s="681"/>
      <c r="P1" s="761"/>
      <c r="X1" s="725" t="s">
        <v>1400</v>
      </c>
      <c r="Y1" s="758">
        <v>3.6</v>
      </c>
      <c r="Z1" s="758" t="e">
        <f>(#REF!-#REF!)*100/#REF!</f>
        <v>#REF!</v>
      </c>
      <c r="AA1" s="758" t="e">
        <f>(#REF!-#REF!)*100/#REF!</f>
        <v>#REF!</v>
      </c>
      <c r="AB1" s="759">
        <v>5</v>
      </c>
      <c r="AC1" s="759">
        <v>6.1</v>
      </c>
      <c r="AD1" s="759" t="e">
        <f>#REF!/#REF!*100-100</f>
        <v>#REF!</v>
      </c>
      <c r="AE1" s="759">
        <v>4.5</v>
      </c>
      <c r="AF1" s="759">
        <v>11.6</v>
      </c>
      <c r="AG1" s="759">
        <v>5.4</v>
      </c>
      <c r="AH1" s="762">
        <v>5.9</v>
      </c>
      <c r="AI1" s="762" t="e">
        <f>(#REF!-#REF!)/#REF!*100</f>
        <v>#REF!</v>
      </c>
      <c r="AJ1" s="762" t="e">
        <f>#REF!/#REF!*100-100</f>
        <v>#REF!</v>
      </c>
      <c r="AK1" s="762">
        <v>-9.1043904707529197</v>
      </c>
      <c r="AL1" s="762" t="e">
        <f>100*(#REF!-#REF!)/#REF!</f>
        <v>#REF!</v>
      </c>
      <c r="AM1" s="762"/>
      <c r="AN1" s="762" t="e">
        <f>+#REF!/#REF!%-100</f>
        <v>#REF!</v>
      </c>
      <c r="AO1" s="762" t="e">
        <f>+#REF!/#REF!%-100</f>
        <v>#REF!</v>
      </c>
    </row>
    <row r="2" spans="2:47" ht="20.25" hidden="1" customHeight="1" x14ac:dyDescent="0.25">
      <c r="E2" s="792"/>
      <c r="F2" s="792"/>
      <c r="G2" s="792"/>
      <c r="H2" s="793"/>
      <c r="I2" s="793"/>
      <c r="J2" s="793"/>
      <c r="K2" s="793"/>
      <c r="L2" s="793"/>
    </row>
    <row r="3" spans="2:47" ht="20.25" hidden="1" customHeight="1" x14ac:dyDescent="0.25">
      <c r="E3" s="3435" t="s">
        <v>1472</v>
      </c>
      <c r="F3" s="3435"/>
      <c r="G3" s="3435"/>
      <c r="H3" s="3435"/>
      <c r="I3" s="3435"/>
      <c r="J3" s="3435"/>
      <c r="K3" s="3435"/>
      <c r="L3" s="3435"/>
      <c r="M3" s="3435"/>
      <c r="N3" s="3435"/>
      <c r="O3" s="3435"/>
      <c r="P3" s="3435"/>
      <c r="X3" s="3436" t="s">
        <v>1439</v>
      </c>
      <c r="Y3" s="3436"/>
      <c r="Z3" s="3436"/>
      <c r="AA3" s="3436"/>
      <c r="AB3" s="3436"/>
      <c r="AC3" s="3436"/>
      <c r="AD3" s="3436"/>
      <c r="AE3" s="3436"/>
      <c r="AF3" s="3436"/>
      <c r="AG3" s="3436"/>
      <c r="AH3" s="3436"/>
      <c r="AI3" s="3436"/>
      <c r="AJ3" s="3436"/>
      <c r="AM3" s="3433" t="s">
        <v>1440</v>
      </c>
      <c r="AN3" s="3433"/>
      <c r="AO3" s="3433"/>
    </row>
    <row r="4" spans="2:47" ht="20.25" hidden="1" customHeight="1" x14ac:dyDescent="0.25">
      <c r="E4" s="3409"/>
      <c r="F4" s="3409"/>
      <c r="G4" s="3409"/>
      <c r="H4" s="3409"/>
      <c r="I4" s="3409"/>
      <c r="J4" s="3409"/>
      <c r="K4" s="3409"/>
      <c r="L4" s="3409"/>
      <c r="M4" s="3409"/>
      <c r="N4" s="3409"/>
      <c r="O4" s="3409"/>
      <c r="P4" s="3409"/>
      <c r="X4" s="3438" t="s">
        <v>1441</v>
      </c>
      <c r="Y4" s="3439"/>
      <c r="Z4" s="3439"/>
      <c r="AA4" s="3439"/>
      <c r="AB4" s="3439"/>
      <c r="AC4" s="3439"/>
      <c r="AD4" s="3439"/>
      <c r="AE4" s="3439"/>
      <c r="AF4" s="3439"/>
      <c r="AG4" s="3439"/>
      <c r="AH4" s="3439"/>
      <c r="AI4" s="3439"/>
      <c r="AJ4" s="3439"/>
      <c r="AM4" s="3437"/>
      <c r="AN4" s="3437"/>
      <c r="AO4" s="3437"/>
    </row>
    <row r="5" spans="2:47" ht="20.25" hidden="1" customHeight="1" x14ac:dyDescent="0.55000000000000004">
      <c r="E5" s="794" t="s">
        <v>3</v>
      </c>
      <c r="F5" s="3434" t="s">
        <v>1442</v>
      </c>
      <c r="G5" s="3434"/>
      <c r="H5" s="3434"/>
      <c r="I5" s="3434"/>
      <c r="J5" s="794" t="s">
        <v>1443</v>
      </c>
      <c r="X5" s="701" t="s">
        <v>1150</v>
      </c>
      <c r="Y5" s="702" t="s">
        <v>1083</v>
      </c>
      <c r="Z5" s="769" t="s">
        <v>1085</v>
      </c>
      <c r="AA5" s="769" t="s">
        <v>1086</v>
      </c>
      <c r="AB5" s="769" t="s">
        <v>1087</v>
      </c>
      <c r="AC5" s="702" t="s">
        <v>1176</v>
      </c>
      <c r="AD5" s="702" t="s">
        <v>1392</v>
      </c>
      <c r="AE5" s="702" t="s">
        <v>1090</v>
      </c>
      <c r="AF5" s="756" t="s">
        <v>1393</v>
      </c>
      <c r="AG5" s="702" t="s">
        <v>1394</v>
      </c>
      <c r="AH5" s="702" t="s">
        <v>1395</v>
      </c>
      <c r="AI5" s="702" t="s">
        <v>1096</v>
      </c>
      <c r="AJ5" s="702" t="s">
        <v>1444</v>
      </c>
      <c r="AM5" s="770" t="s">
        <v>1426</v>
      </c>
      <c r="AN5" s="728" t="s">
        <v>1378</v>
      </c>
      <c r="AO5" s="728" t="s">
        <v>1379</v>
      </c>
      <c r="AP5" s="728" t="s">
        <v>1380</v>
      </c>
      <c r="AQ5" s="728" t="s">
        <v>1381</v>
      </c>
      <c r="AR5" s="728" t="s">
        <v>1382</v>
      </c>
      <c r="AS5" s="728" t="s">
        <v>1383</v>
      </c>
      <c r="AT5" s="3432" t="s">
        <v>1445</v>
      </c>
      <c r="AU5" s="3433"/>
    </row>
    <row r="6" spans="2:47" ht="20.25" hidden="1" customHeight="1" x14ac:dyDescent="0.25">
      <c r="E6" s="794" t="s">
        <v>1446</v>
      </c>
      <c r="F6" s="3434" t="s">
        <v>1447</v>
      </c>
      <c r="G6" s="3434"/>
      <c r="H6" s="3434"/>
      <c r="I6" s="3434"/>
      <c r="J6" s="794" t="s">
        <v>1448</v>
      </c>
      <c r="X6" s="707" t="s">
        <v>112</v>
      </c>
      <c r="Y6" s="757"/>
      <c r="Z6" s="757" t="e">
        <f>(#REF!-#REF!)/#REF!*100</f>
        <v>#REF!</v>
      </c>
      <c r="AA6" s="757" t="e">
        <f>(#REF!-#REF!)/#REF!*100</f>
        <v>#REF!</v>
      </c>
      <c r="AB6" s="757" t="e">
        <f>(#REF!-#REF!)/#REF!*100</f>
        <v>#REF!</v>
      </c>
      <c r="AC6" s="757" t="e">
        <f>(#REF!-#REF!)/#REF!*100</f>
        <v>#REF!</v>
      </c>
      <c r="AD6" s="757" t="e">
        <f>(#REF!-#REF!)/#REF!*100</f>
        <v>#REF!</v>
      </c>
      <c r="AE6" s="757" t="e">
        <f>(#REF!-#REF!)/#REF!*100</f>
        <v>#REF!</v>
      </c>
      <c r="AF6" s="757" t="e">
        <f>(#REF!-#REF!)/#REF!*100</f>
        <v>#REF!</v>
      </c>
      <c r="AG6" s="757" t="e">
        <f>(#REF!-#REF!)/#REF!*100</f>
        <v>#REF!</v>
      </c>
      <c r="AH6" s="757" t="e">
        <f>(#REF!-#REF!)/#REF!*100</f>
        <v>#REF!</v>
      </c>
      <c r="AI6" s="771" t="e">
        <f>(#REF!-#REF!)/#REF!*100</f>
        <v>#REF!</v>
      </c>
      <c r="AJ6" s="771" t="e">
        <f>(#REF!-#REF!)/#REF!*100</f>
        <v>#REF!</v>
      </c>
      <c r="AM6" s="772" t="s">
        <v>112</v>
      </c>
      <c r="AN6" s="773">
        <v>1153.9000000000001</v>
      </c>
      <c r="AO6" s="773">
        <v>1210.5</v>
      </c>
      <c r="AP6" s="773">
        <v>1214.2</v>
      </c>
      <c r="AQ6" s="773">
        <v>1247.9000000000001</v>
      </c>
      <c r="AR6" s="773">
        <v>1271.7</v>
      </c>
      <c r="AS6" s="773">
        <v>1282.4000000000001</v>
      </c>
      <c r="AT6" s="695">
        <f t="shared" ref="AT6:AT17" si="0">+SUM(AN6:AS6)</f>
        <v>7380.6</v>
      </c>
      <c r="AU6" s="733">
        <v>7.3806000000000003</v>
      </c>
    </row>
    <row r="7" spans="2:47" ht="20.25" hidden="1" customHeight="1" x14ac:dyDescent="0.25">
      <c r="E7" s="795" t="s">
        <v>1450</v>
      </c>
      <c r="F7" s="3423" t="s">
        <v>1451</v>
      </c>
      <c r="G7" s="3424"/>
      <c r="H7" s="3424"/>
      <c r="I7" s="3425"/>
      <c r="J7" s="775">
        <v>2.9</v>
      </c>
      <c r="X7" s="707" t="s">
        <v>1046</v>
      </c>
      <c r="Y7" s="757"/>
      <c r="Z7" s="757" t="e">
        <f>(#REF!-#REF!)/#REF!*100</f>
        <v>#REF!</v>
      </c>
      <c r="AA7" s="757" t="e">
        <f>(#REF!-#REF!)/#REF!*100</f>
        <v>#REF!</v>
      </c>
      <c r="AB7" s="757" t="e">
        <f>(#REF!-#REF!)/#REF!*100</f>
        <v>#REF!</v>
      </c>
      <c r="AC7" s="757" t="e">
        <f>(#REF!-#REF!)/#REF!*100</f>
        <v>#REF!</v>
      </c>
      <c r="AD7" s="757" t="e">
        <f>(#REF!-#REF!)/#REF!*100</f>
        <v>#REF!</v>
      </c>
      <c r="AE7" s="757" t="e">
        <f>(#REF!-#REF!)/#REF!*100</f>
        <v>#REF!</v>
      </c>
      <c r="AF7" s="757" t="e">
        <f>(#REF!-#REF!)/#REF!*100</f>
        <v>#REF!</v>
      </c>
      <c r="AG7" s="757" t="e">
        <f>(#REF!-#REF!)/#REF!*100</f>
        <v>#REF!</v>
      </c>
      <c r="AH7" s="757" t="e">
        <f>(#REF!-#REF!)/#REF!*100</f>
        <v>#REF!</v>
      </c>
      <c r="AI7" s="771" t="e">
        <f>(#REF!-#REF!)/#REF!*100</f>
        <v>#REF!</v>
      </c>
      <c r="AJ7" s="771" t="e">
        <f>(#REF!-#REF!)/#REF!*100</f>
        <v>#REF!</v>
      </c>
      <c r="AM7" s="776" t="s">
        <v>1046</v>
      </c>
      <c r="AN7" s="773">
        <v>1009.9</v>
      </c>
      <c r="AO7" s="773">
        <v>961.2</v>
      </c>
      <c r="AP7" s="773">
        <v>850.1</v>
      </c>
      <c r="AQ7" s="773">
        <v>959.6</v>
      </c>
      <c r="AR7" s="773">
        <v>904.2</v>
      </c>
      <c r="AS7" s="773">
        <v>983.8</v>
      </c>
      <c r="AT7" s="695">
        <f t="shared" si="0"/>
        <v>5668.8</v>
      </c>
      <c r="AU7" s="733">
        <v>5.6688000000000001</v>
      </c>
    </row>
    <row r="8" spans="2:47" ht="20.25" hidden="1" customHeight="1" x14ac:dyDescent="0.25">
      <c r="E8" s="795" t="s">
        <v>1452</v>
      </c>
      <c r="F8" s="3423" t="s">
        <v>1453</v>
      </c>
      <c r="G8" s="3424"/>
      <c r="H8" s="3424"/>
      <c r="I8" s="3425"/>
      <c r="J8" s="775">
        <v>12.4</v>
      </c>
      <c r="X8" s="707" t="s">
        <v>1049</v>
      </c>
      <c r="Y8" s="757"/>
      <c r="Z8" s="757" t="e">
        <f>(#REF!-#REF!)/#REF!*100</f>
        <v>#REF!</v>
      </c>
      <c r="AA8" s="757" t="e">
        <f>(#REF!-#REF!)/#REF!*100</f>
        <v>#REF!</v>
      </c>
      <c r="AB8" s="757" t="e">
        <f>(#REF!-#REF!)/#REF!*100</f>
        <v>#REF!</v>
      </c>
      <c r="AC8" s="757" t="e">
        <f>(#REF!-#REF!)/#REF!*100</f>
        <v>#REF!</v>
      </c>
      <c r="AD8" s="757" t="e">
        <f>(#REF!-#REF!)/#REF!*100</f>
        <v>#REF!</v>
      </c>
      <c r="AE8" s="757" t="e">
        <f>(#REF!-#REF!)/#REF!*100</f>
        <v>#REF!</v>
      </c>
      <c r="AF8" s="757" t="e">
        <f>(#REF!-#REF!)/#REF!*100</f>
        <v>#REF!</v>
      </c>
      <c r="AG8" s="757" t="e">
        <f>(#REF!-#REF!)/#REF!*100</f>
        <v>#REF!</v>
      </c>
      <c r="AH8" s="757" t="e">
        <f>(#REF!-#REF!)/#REF!*100</f>
        <v>#REF!</v>
      </c>
      <c r="AI8" s="771" t="e">
        <f>(#REF!-#REF!)/#REF!*100</f>
        <v>#REF!</v>
      </c>
      <c r="AJ8" s="771" t="e">
        <f>(#REF!-#REF!)/#REF!*100</f>
        <v>#REF!</v>
      </c>
      <c r="AM8" s="772" t="s">
        <v>1045</v>
      </c>
      <c r="AN8" s="773">
        <v>1201.9000000000001</v>
      </c>
      <c r="AO8" s="773">
        <v>1351.1</v>
      </c>
      <c r="AP8" s="773">
        <v>1248.5</v>
      </c>
      <c r="AQ8" s="773">
        <v>1212</v>
      </c>
      <c r="AR8" s="773">
        <v>1221.9000000000001</v>
      </c>
      <c r="AS8" s="773">
        <v>1196.7</v>
      </c>
      <c r="AT8" s="695">
        <f t="shared" si="0"/>
        <v>7432.0999999999995</v>
      </c>
      <c r="AU8" s="733">
        <v>7.4320999999999993</v>
      </c>
    </row>
    <row r="9" spans="2:47" ht="20.25" hidden="1" customHeight="1" x14ac:dyDescent="0.25">
      <c r="E9" s="795" t="s">
        <v>1454</v>
      </c>
      <c r="F9" s="3423" t="s">
        <v>1455</v>
      </c>
      <c r="G9" s="3424"/>
      <c r="H9" s="3424"/>
      <c r="I9" s="3425"/>
      <c r="J9" s="775">
        <v>1.2</v>
      </c>
      <c r="X9" s="707" t="s">
        <v>1059</v>
      </c>
      <c r="Y9" s="757"/>
      <c r="Z9" s="757" t="e">
        <f>(#REF!-#REF!)/#REF!*100</f>
        <v>#REF!</v>
      </c>
      <c r="AA9" s="757" t="e">
        <f>(#REF!-#REF!)/#REF!*100</f>
        <v>#REF!</v>
      </c>
      <c r="AB9" s="757" t="e">
        <f>(#REF!-#REF!)/#REF!*100</f>
        <v>#REF!</v>
      </c>
      <c r="AC9" s="757" t="e">
        <f>(#REF!-#REF!)/#REF!*100</f>
        <v>#REF!</v>
      </c>
      <c r="AD9" s="757" t="e">
        <f>(#REF!-#REF!)/#REF!*100</f>
        <v>#REF!</v>
      </c>
      <c r="AE9" s="757" t="e">
        <f>(#REF!-#REF!)/#REF!*100</f>
        <v>#REF!</v>
      </c>
      <c r="AF9" s="757" t="e">
        <f>(#REF!-#REF!)/#REF!*100</f>
        <v>#REF!</v>
      </c>
      <c r="AG9" s="757" t="e">
        <f>(#REF!-#REF!)/#REF!*100</f>
        <v>#REF!</v>
      </c>
      <c r="AH9" s="757" t="e">
        <f>(#REF!-#REF!)/#REF!*100</f>
        <v>#REF!</v>
      </c>
      <c r="AI9" s="771" t="e">
        <f>(#REF!-#REF!)/#REF!*100</f>
        <v>#REF!</v>
      </c>
      <c r="AJ9" s="771" t="e">
        <f>(#REF!-#REF!)/#REF!*100</f>
        <v>#REF!</v>
      </c>
      <c r="AM9" s="772" t="s">
        <v>1049</v>
      </c>
      <c r="AN9" s="773">
        <v>451.6</v>
      </c>
      <c r="AO9" s="773">
        <v>458.7</v>
      </c>
      <c r="AP9" s="773">
        <v>442.5</v>
      </c>
      <c r="AQ9" s="773">
        <v>450</v>
      </c>
      <c r="AR9" s="773">
        <v>440.1</v>
      </c>
      <c r="AS9" s="773">
        <v>444.7</v>
      </c>
      <c r="AT9" s="695">
        <f t="shared" si="0"/>
        <v>2687.6</v>
      </c>
      <c r="AU9" s="733">
        <v>2.6875999999999998</v>
      </c>
    </row>
    <row r="10" spans="2:47" ht="20.25" hidden="1" customHeight="1" x14ac:dyDescent="0.25">
      <c r="E10" s="795" t="s">
        <v>1456</v>
      </c>
      <c r="F10" s="3423" t="s">
        <v>1457</v>
      </c>
      <c r="G10" s="3424"/>
      <c r="H10" s="3424"/>
      <c r="I10" s="3425"/>
      <c r="J10" s="775">
        <v>55.4</v>
      </c>
      <c r="X10" s="707" t="s">
        <v>1050</v>
      </c>
      <c r="Y10" s="757"/>
      <c r="Z10" s="757" t="e">
        <f>(#REF!-#REF!)/#REF!*100</f>
        <v>#REF!</v>
      </c>
      <c r="AA10" s="757" t="e">
        <f>(#REF!-#REF!)/#REF!*100</f>
        <v>#REF!</v>
      </c>
      <c r="AB10" s="757" t="e">
        <f>(#REF!-#REF!)/#REF!*100</f>
        <v>#REF!</v>
      </c>
      <c r="AC10" s="757" t="e">
        <f>(#REF!-#REF!)/#REF!*100</f>
        <v>#REF!</v>
      </c>
      <c r="AD10" s="757" t="e">
        <f>(#REF!-#REF!)/#REF!*100</f>
        <v>#REF!</v>
      </c>
      <c r="AE10" s="757" t="e">
        <f>(#REF!-#REF!)/#REF!*100</f>
        <v>#REF!</v>
      </c>
      <c r="AF10" s="757" t="e">
        <f>(#REF!-#REF!)/#REF!*100</f>
        <v>#REF!</v>
      </c>
      <c r="AG10" s="757" t="e">
        <f>(#REF!-#REF!)/#REF!*100</f>
        <v>#REF!</v>
      </c>
      <c r="AH10" s="757" t="e">
        <f>(#REF!-#REF!)/#REF!*100</f>
        <v>#REF!</v>
      </c>
      <c r="AI10" s="771" t="e">
        <f>(#REF!-#REF!)/#REF!*100</f>
        <v>#REF!</v>
      </c>
      <c r="AJ10" s="771" t="e">
        <f>(#REF!-#REF!)/#REF!*100</f>
        <v>#REF!</v>
      </c>
      <c r="AM10" s="772" t="s">
        <v>1059</v>
      </c>
      <c r="AN10" s="773">
        <v>748.6</v>
      </c>
      <c r="AO10" s="773">
        <v>732.3</v>
      </c>
      <c r="AP10" s="773">
        <v>674.6</v>
      </c>
      <c r="AQ10" s="773">
        <v>689</v>
      </c>
      <c r="AR10" s="773">
        <v>671.1</v>
      </c>
      <c r="AS10" s="773">
        <v>657.2</v>
      </c>
      <c r="AT10" s="695">
        <f t="shared" si="0"/>
        <v>4172.8</v>
      </c>
      <c r="AU10" s="733">
        <v>4.1728000000000005</v>
      </c>
    </row>
    <row r="11" spans="2:47" ht="20.25" hidden="1" customHeight="1" x14ac:dyDescent="0.25">
      <c r="E11" s="795" t="s">
        <v>1458</v>
      </c>
      <c r="F11" s="3423" t="s">
        <v>1459</v>
      </c>
      <c r="G11" s="3424"/>
      <c r="H11" s="3424"/>
      <c r="I11" s="3425"/>
      <c r="J11" s="775">
        <v>5.9</v>
      </c>
      <c r="X11" s="707" t="s">
        <v>1051</v>
      </c>
      <c r="Y11" s="757"/>
      <c r="Z11" s="757" t="e">
        <f>(#REF!-#REF!)/#REF!*100</f>
        <v>#REF!</v>
      </c>
      <c r="AA11" s="757" t="e">
        <f>(#REF!-#REF!)/#REF!*100</f>
        <v>#REF!</v>
      </c>
      <c r="AB11" s="757" t="e">
        <f>(#REF!-#REF!)/#REF!*100</f>
        <v>#REF!</v>
      </c>
      <c r="AC11" s="757" t="e">
        <f>(#REF!-#REF!)/#REF!*100</f>
        <v>#REF!</v>
      </c>
      <c r="AD11" s="757" t="e">
        <f>(#REF!-#REF!)/#REF!*100</f>
        <v>#REF!</v>
      </c>
      <c r="AE11" s="757" t="e">
        <f>(#REF!-#REF!)/#REF!*100</f>
        <v>#REF!</v>
      </c>
      <c r="AF11" s="757" t="e">
        <f>(#REF!-#REF!)/#REF!*100</f>
        <v>#REF!</v>
      </c>
      <c r="AG11" s="757" t="e">
        <f>(#REF!-#REF!)/#REF!*100</f>
        <v>#REF!</v>
      </c>
      <c r="AH11" s="757" t="e">
        <f>(#REF!-#REF!)/#REF!*100</f>
        <v>#REF!</v>
      </c>
      <c r="AI11" s="771" t="e">
        <f>(#REF!-#REF!)/#REF!*100</f>
        <v>#REF!</v>
      </c>
      <c r="AJ11" s="771" t="e">
        <f>(#REF!-#REF!)/#REF!*100</f>
        <v>#REF!</v>
      </c>
      <c r="AM11" s="772" t="s">
        <v>1050</v>
      </c>
      <c r="AN11" s="773">
        <v>5473.7</v>
      </c>
      <c r="AO11" s="773">
        <v>5853</v>
      </c>
      <c r="AP11" s="773">
        <v>5342.5</v>
      </c>
      <c r="AQ11" s="773">
        <v>5072.7</v>
      </c>
      <c r="AR11" s="773">
        <v>4577.3</v>
      </c>
      <c r="AS11" s="773">
        <v>4597</v>
      </c>
      <c r="AT11" s="695">
        <f t="shared" si="0"/>
        <v>30916.2</v>
      </c>
      <c r="AU11" s="733">
        <v>30.9162</v>
      </c>
    </row>
    <row r="12" spans="2:47" ht="20.25" hidden="1" customHeight="1" x14ac:dyDescent="0.25">
      <c r="E12" s="794">
        <v>2</v>
      </c>
      <c r="F12" s="3426" t="s">
        <v>1460</v>
      </c>
      <c r="G12" s="3427"/>
      <c r="H12" s="3427"/>
      <c r="I12" s="3428"/>
      <c r="J12" s="779">
        <v>0.8</v>
      </c>
      <c r="X12" s="707" t="s">
        <v>1066</v>
      </c>
      <c r="Y12" s="757"/>
      <c r="Z12" s="757" t="e">
        <f>(#REF!-#REF!)/#REF!*100</f>
        <v>#REF!</v>
      </c>
      <c r="AA12" s="757" t="e">
        <f>(#REF!-#REF!)/#REF!*100</f>
        <v>#REF!</v>
      </c>
      <c r="AB12" s="757" t="e">
        <f>(#REF!-#REF!)/#REF!*100</f>
        <v>#REF!</v>
      </c>
      <c r="AC12" s="757" t="e">
        <f>(#REF!-#REF!)/#REF!*100</f>
        <v>#REF!</v>
      </c>
      <c r="AD12" s="757" t="e">
        <f>(#REF!-#REF!)/#REF!*100</f>
        <v>#REF!</v>
      </c>
      <c r="AE12" s="757" t="e">
        <f>(#REF!-#REF!)/#REF!*100</f>
        <v>#REF!</v>
      </c>
      <c r="AF12" s="757" t="e">
        <f>(#REF!-#REF!)/#REF!*100</f>
        <v>#REF!</v>
      </c>
      <c r="AG12" s="757" t="e">
        <f>(#REF!-#REF!)/#REF!*100</f>
        <v>#REF!</v>
      </c>
      <c r="AH12" s="757" t="e">
        <f>(#REF!-#REF!)/#REF!*100</f>
        <v>#REF!</v>
      </c>
      <c r="AI12" s="771" t="e">
        <f>(#REF!-#REF!)/#REF!*100</f>
        <v>#REF!</v>
      </c>
      <c r="AJ12" s="771" t="e">
        <f>(#REF!-#REF!)/#REF!*100</f>
        <v>#REF!</v>
      </c>
      <c r="AM12" s="772" t="s">
        <v>1051</v>
      </c>
      <c r="AN12" s="773">
        <v>34.5</v>
      </c>
      <c r="AO12" s="773">
        <v>31.2</v>
      </c>
      <c r="AP12" s="773">
        <v>38.9</v>
      </c>
      <c r="AQ12" s="773">
        <v>42.8</v>
      </c>
      <c r="AR12" s="773">
        <v>41.7</v>
      </c>
      <c r="AS12" s="773">
        <v>40.1</v>
      </c>
      <c r="AT12" s="695">
        <f t="shared" si="0"/>
        <v>229.19999999999996</v>
      </c>
      <c r="AU12" s="733">
        <v>0.22919999999999996</v>
      </c>
    </row>
    <row r="13" spans="2:47" ht="20.25" hidden="1" customHeight="1" x14ac:dyDescent="0.25">
      <c r="E13" s="794">
        <v>3</v>
      </c>
      <c r="F13" s="3426" t="s">
        <v>1461</v>
      </c>
      <c r="G13" s="3427"/>
      <c r="H13" s="3427"/>
      <c r="I13" s="3428"/>
      <c r="J13" s="779">
        <v>2.1</v>
      </c>
      <c r="X13" s="707" t="s">
        <v>1414</v>
      </c>
      <c r="Y13" s="757"/>
      <c r="Z13" s="757" t="e">
        <f>(#REF!-#REF!)/#REF!*100</f>
        <v>#REF!</v>
      </c>
      <c r="AA13" s="757" t="e">
        <f>(#REF!-#REF!)/#REF!*100</f>
        <v>#REF!</v>
      </c>
      <c r="AB13" s="757" t="e">
        <f>(#REF!-#REF!)/#REF!*100</f>
        <v>#REF!</v>
      </c>
      <c r="AC13" s="757" t="e">
        <f>(#REF!-#REF!)/#REF!*100</f>
        <v>#REF!</v>
      </c>
      <c r="AD13" s="757" t="e">
        <f>(#REF!-#REF!)/#REF!*100</f>
        <v>#REF!</v>
      </c>
      <c r="AE13" s="757" t="e">
        <f>(#REF!-#REF!)/#REF!*100</f>
        <v>#REF!</v>
      </c>
      <c r="AF13" s="757" t="e">
        <f>(#REF!-#REF!)/#REF!*100</f>
        <v>#REF!</v>
      </c>
      <c r="AG13" s="757" t="e">
        <f>(#REF!-#REF!)/#REF!*100</f>
        <v>#REF!</v>
      </c>
      <c r="AH13" s="757" t="e">
        <f>(#REF!-#REF!)/#REF!*100</f>
        <v>#REF!</v>
      </c>
      <c r="AI13" s="771" t="e">
        <f>(#REF!-#REF!)/#REF!*100</f>
        <v>#REF!</v>
      </c>
      <c r="AJ13" s="771" t="e">
        <f>(#REF!-#REF!)/#REF!*100</f>
        <v>#REF!</v>
      </c>
      <c r="AM13" s="772" t="s">
        <v>1415</v>
      </c>
      <c r="AN13" s="773">
        <v>196</v>
      </c>
      <c r="AO13" s="773">
        <v>195</v>
      </c>
      <c r="AP13" s="773">
        <v>200.1</v>
      </c>
      <c r="AQ13" s="773">
        <v>178.1</v>
      </c>
      <c r="AR13" s="773">
        <v>235.4</v>
      </c>
      <c r="AS13" s="773">
        <v>223.8</v>
      </c>
      <c r="AT13" s="695">
        <f t="shared" si="0"/>
        <v>1228.4000000000001</v>
      </c>
      <c r="AU13" s="733">
        <v>1.2284000000000002</v>
      </c>
    </row>
    <row r="14" spans="2:47" ht="20.25" hidden="1" customHeight="1" x14ac:dyDescent="0.25">
      <c r="E14" s="794">
        <v>4</v>
      </c>
      <c r="F14" s="3426" t="s">
        <v>1462</v>
      </c>
      <c r="G14" s="3427"/>
      <c r="H14" s="3427"/>
      <c r="I14" s="3428"/>
      <c r="J14" s="779">
        <v>4.8</v>
      </c>
      <c r="X14" s="707" t="s">
        <v>1054</v>
      </c>
      <c r="Y14" s="757"/>
      <c r="Z14" s="757" t="e">
        <f>(#REF!-#REF!)/#REF!*100</f>
        <v>#REF!</v>
      </c>
      <c r="AA14" s="757" t="e">
        <f>(#REF!-#REF!)/#REF!*100</f>
        <v>#REF!</v>
      </c>
      <c r="AB14" s="757" t="e">
        <f>(#REF!-#REF!)/#REF!*100</f>
        <v>#REF!</v>
      </c>
      <c r="AC14" s="757" t="e">
        <f>(#REF!-#REF!)/#REF!*100</f>
        <v>#REF!</v>
      </c>
      <c r="AD14" s="757" t="e">
        <f>(#REF!-#REF!)/#REF!*100</f>
        <v>#REF!</v>
      </c>
      <c r="AE14" s="757" t="e">
        <f>(#REF!-#REF!)/#REF!*100</f>
        <v>#REF!</v>
      </c>
      <c r="AF14" s="757" t="e">
        <f>(#REF!-#REF!)/#REF!*100</f>
        <v>#REF!</v>
      </c>
      <c r="AG14" s="757" t="e">
        <f>(#REF!-#REF!)/#REF!*100</f>
        <v>#REF!</v>
      </c>
      <c r="AH14" s="757" t="e">
        <f>(#REF!-#REF!)/#REF!*100</f>
        <v>#REF!</v>
      </c>
      <c r="AI14" s="771" t="e">
        <f>(#REF!-#REF!)/#REF!*100</f>
        <v>#REF!</v>
      </c>
      <c r="AJ14" s="771" t="e">
        <f>(#REF!-#REF!)/#REF!*100</f>
        <v>#REF!</v>
      </c>
      <c r="AM14" s="772" t="s">
        <v>1416</v>
      </c>
      <c r="AN14" s="773">
        <v>918.1</v>
      </c>
      <c r="AO14" s="773">
        <v>664.9</v>
      </c>
      <c r="AP14" s="773">
        <v>781.7</v>
      </c>
      <c r="AQ14" s="773">
        <v>855.4</v>
      </c>
      <c r="AR14" s="773">
        <v>819.6</v>
      </c>
      <c r="AS14" s="773">
        <v>793.2</v>
      </c>
      <c r="AT14" s="695">
        <f t="shared" si="0"/>
        <v>4832.8999999999996</v>
      </c>
      <c r="AU14" s="733">
        <v>4.8328999999999995</v>
      </c>
    </row>
    <row r="15" spans="2:47" ht="76.5" customHeight="1" x14ac:dyDescent="0.25">
      <c r="B15" s="1454"/>
      <c r="E15" s="794"/>
      <c r="F15" s="796"/>
      <c r="G15" s="797"/>
      <c r="H15" s="797"/>
      <c r="I15" s="798"/>
      <c r="J15" s="779"/>
      <c r="X15" s="707"/>
      <c r="Y15" s="757"/>
      <c r="Z15" s="757"/>
      <c r="AA15" s="757"/>
      <c r="AB15" s="757"/>
      <c r="AC15" s="757"/>
      <c r="AD15" s="757"/>
      <c r="AE15" s="757"/>
      <c r="AF15" s="757"/>
      <c r="AG15" s="757"/>
      <c r="AH15" s="757"/>
      <c r="AI15" s="771"/>
      <c r="AJ15" s="771"/>
      <c r="AM15" s="772" t="s">
        <v>1054</v>
      </c>
      <c r="AN15" s="773">
        <v>480.9</v>
      </c>
      <c r="AO15" s="773">
        <v>508.7</v>
      </c>
      <c r="AP15" s="773">
        <v>362.1</v>
      </c>
      <c r="AQ15" s="773">
        <v>200.6</v>
      </c>
      <c r="AR15" s="773">
        <v>135.5</v>
      </c>
      <c r="AS15" s="773">
        <v>186.5</v>
      </c>
      <c r="AT15" s="695">
        <f t="shared" si="0"/>
        <v>1874.2999999999997</v>
      </c>
      <c r="AU15" s="733">
        <v>1.8742999999999996</v>
      </c>
    </row>
    <row r="16" spans="2:47" ht="20.25" hidden="1" customHeight="1" x14ac:dyDescent="0.25">
      <c r="E16" s="794"/>
      <c r="F16" s="796" t="s">
        <v>1464</v>
      </c>
      <c r="G16" s="797"/>
      <c r="H16" s="797"/>
      <c r="I16" s="798"/>
      <c r="J16" s="779">
        <v>6.3</v>
      </c>
      <c r="X16" s="707"/>
      <c r="Y16" s="757"/>
      <c r="Z16" s="757"/>
      <c r="AA16" s="757"/>
      <c r="AB16" s="757"/>
      <c r="AC16" s="757"/>
      <c r="AD16" s="757"/>
      <c r="AE16" s="757"/>
      <c r="AF16" s="757"/>
      <c r="AG16" s="757"/>
      <c r="AH16" s="757"/>
      <c r="AI16" s="771"/>
      <c r="AJ16" s="771"/>
      <c r="AM16" s="772" t="s">
        <v>1417</v>
      </c>
      <c r="AN16" s="773">
        <v>457.3</v>
      </c>
      <c r="AO16" s="773">
        <v>483.5</v>
      </c>
      <c r="AP16" s="773">
        <v>522.70000000000005</v>
      </c>
      <c r="AQ16" s="773">
        <v>494.5</v>
      </c>
      <c r="AR16" s="773">
        <v>416.1</v>
      </c>
      <c r="AS16" s="773">
        <v>497.3</v>
      </c>
      <c r="AT16" s="695">
        <f t="shared" si="0"/>
        <v>2871.4</v>
      </c>
      <c r="AU16" s="733">
        <v>2.8714</v>
      </c>
    </row>
    <row r="17" spans="2:47" ht="20.25" hidden="1" customHeight="1" x14ac:dyDescent="0.25">
      <c r="E17" s="794">
        <v>5</v>
      </c>
      <c r="F17" s="3426" t="s">
        <v>1465</v>
      </c>
      <c r="G17" s="3427"/>
      <c r="H17" s="3427"/>
      <c r="I17" s="3428"/>
      <c r="J17" s="779">
        <v>0.3</v>
      </c>
      <c r="X17" s="707" t="s">
        <v>1157</v>
      </c>
      <c r="Y17" s="780"/>
      <c r="Z17" s="757" t="e">
        <f>(#REF!-#REF!)/#REF!*100</f>
        <v>#REF!</v>
      </c>
      <c r="AA17" s="757" t="e">
        <f>(#REF!-#REF!)/#REF!*100</f>
        <v>#REF!</v>
      </c>
      <c r="AB17" s="757" t="e">
        <f>(#REF!-#REF!)/#REF!*100</f>
        <v>#REF!</v>
      </c>
      <c r="AC17" s="757" t="e">
        <f>(#REF!-#REF!)/#REF!*100</f>
        <v>#REF!</v>
      </c>
      <c r="AD17" s="757" t="e">
        <f>(#REF!-#REF!)/#REF!*100</f>
        <v>#REF!</v>
      </c>
      <c r="AE17" s="757" t="e">
        <f>(#REF!-#REF!)/#REF!*100</f>
        <v>#REF!</v>
      </c>
      <c r="AF17" s="757" t="e">
        <f>(#REF!-#REF!)/#REF!*100</f>
        <v>#REF!</v>
      </c>
      <c r="AG17" s="757" t="e">
        <f>(#REF!-#REF!)/#REF!*100</f>
        <v>#REF!</v>
      </c>
      <c r="AH17" s="757" t="e">
        <f>(#REF!-#REF!)/#REF!*100</f>
        <v>#REF!</v>
      </c>
      <c r="AI17" s="771" t="e">
        <f>(#REF!-#REF!)/#REF!*100</f>
        <v>#REF!</v>
      </c>
      <c r="AJ17" s="771" t="e">
        <f>(#REF!-#REF!)/#REF!*100</f>
        <v>#REF!</v>
      </c>
      <c r="AM17" s="772" t="s">
        <v>148</v>
      </c>
      <c r="AN17" s="773">
        <v>468.9</v>
      </c>
      <c r="AO17" s="773">
        <v>429.8</v>
      </c>
      <c r="AP17" s="773">
        <v>451.2</v>
      </c>
      <c r="AQ17" s="773">
        <v>359</v>
      </c>
      <c r="AR17" s="773">
        <v>450.7</v>
      </c>
      <c r="AS17" s="773">
        <v>372.3</v>
      </c>
      <c r="AT17" s="695">
        <f t="shared" si="0"/>
        <v>2531.9</v>
      </c>
      <c r="AU17" s="733">
        <v>2.5319000000000003</v>
      </c>
    </row>
    <row r="18" spans="2:47" ht="20.25" hidden="1" customHeight="1" x14ac:dyDescent="0.25">
      <c r="E18" s="794">
        <v>6</v>
      </c>
      <c r="F18" s="3426" t="s">
        <v>346</v>
      </c>
      <c r="G18" s="3427"/>
      <c r="H18" s="3427"/>
      <c r="I18" s="3428"/>
      <c r="J18" s="779">
        <v>6.3</v>
      </c>
      <c r="X18" s="707" t="s">
        <v>148</v>
      </c>
      <c r="Y18" s="757"/>
      <c r="Z18" s="757" t="e">
        <f>(#REF!-#REF!)/#REF!*100</f>
        <v>#REF!</v>
      </c>
      <c r="AA18" s="757" t="e">
        <f>(#REF!-#REF!)/#REF!*100</f>
        <v>#REF!</v>
      </c>
      <c r="AB18" s="757" t="e">
        <f>(#REF!-#REF!)/#REF!*100</f>
        <v>#REF!</v>
      </c>
      <c r="AC18" s="757" t="e">
        <f>(#REF!-#REF!)/#REF!*100</f>
        <v>#REF!</v>
      </c>
      <c r="AD18" s="757" t="e">
        <f>(#REF!-#REF!)/#REF!*100</f>
        <v>#REF!</v>
      </c>
      <c r="AE18" s="757" t="e">
        <f>(#REF!-#REF!)/#REF!*100</f>
        <v>#REF!</v>
      </c>
      <c r="AF18" s="757" t="e">
        <f>(#REF!-#REF!)/#REF!*100</f>
        <v>#REF!</v>
      </c>
      <c r="AG18" s="757" t="e">
        <f>(#REF!-#REF!)/#REF!*100</f>
        <v>#REF!</v>
      </c>
      <c r="AH18" s="757" t="e">
        <f>(#REF!-#REF!)/#REF!*100</f>
        <v>#REF!</v>
      </c>
      <c r="AI18" s="771" t="e">
        <f>(#REF!-#REF!)/#REF!*100</f>
        <v>#REF!</v>
      </c>
      <c r="AJ18" s="771" t="e">
        <f>(#REF!-#REF!)/#REF!*100</f>
        <v>#REF!</v>
      </c>
    </row>
    <row r="19" spans="2:47" ht="20.25" hidden="1" customHeight="1" x14ac:dyDescent="0.25">
      <c r="E19" s="799"/>
      <c r="F19" s="3429" t="s">
        <v>133</v>
      </c>
      <c r="G19" s="3429"/>
      <c r="H19" s="3429"/>
      <c r="I19" s="3429"/>
      <c r="J19" s="800">
        <f>+SUM(J7:J18)</f>
        <v>98.399999999999991</v>
      </c>
      <c r="X19" s="725" t="s">
        <v>1029</v>
      </c>
      <c r="Y19" s="758">
        <f>SUM(Y6:Y18)</f>
        <v>0</v>
      </c>
      <c r="Z19" s="758" t="e">
        <f>(#REF!-#REF!)/#REF!*100</f>
        <v>#REF!</v>
      </c>
      <c r="AA19" s="758" t="e">
        <f>(#REF!-#REF!)/#REF!*100</f>
        <v>#REF!</v>
      </c>
      <c r="AB19" s="758" t="e">
        <f>(#REF!-#REF!)/#REF!*100</f>
        <v>#REF!</v>
      </c>
      <c r="AC19" s="758" t="e">
        <f>(#REF!-#REF!)/#REF!*100</f>
        <v>#REF!</v>
      </c>
      <c r="AD19" s="758" t="e">
        <f>(#REF!-#REF!)/#REF!*100</f>
        <v>#REF!</v>
      </c>
      <c r="AE19" s="758" t="e">
        <f>(#REF!-#REF!)/#REF!*100</f>
        <v>#REF!</v>
      </c>
      <c r="AF19" s="758" t="e">
        <f>(#REF!-#REF!)/#REF!*100</f>
        <v>#REF!</v>
      </c>
      <c r="AG19" s="758" t="e">
        <f>(#REF!-#REF!)/#REF!*100</f>
        <v>#REF!</v>
      </c>
      <c r="AH19" s="758" t="e">
        <f>(#REF!-#REF!)/#REF!*100</f>
        <v>#REF!</v>
      </c>
      <c r="AI19" s="758" t="e">
        <f>(#REF!-#REF!)/#REF!*100</f>
        <v>#REF!</v>
      </c>
      <c r="AJ19" s="758" t="e">
        <f>(#REF!-#REF!)/#REF!*100</f>
        <v>#REF!</v>
      </c>
    </row>
    <row r="20" spans="2:47" ht="20.25" hidden="1" customHeight="1" x14ac:dyDescent="0.25"/>
    <row r="21" spans="2:47" ht="20.25" hidden="1" customHeight="1" x14ac:dyDescent="0.25"/>
    <row r="22" spans="2:47" ht="20.25" hidden="1" customHeight="1" x14ac:dyDescent="0.25">
      <c r="E22" s="3430" t="s">
        <v>1466</v>
      </c>
      <c r="F22" s="3430"/>
      <c r="G22" s="3430"/>
      <c r="H22" s="3430"/>
      <c r="I22" s="3430"/>
      <c r="J22" s="3430"/>
      <c r="K22" s="3430"/>
      <c r="L22" s="3430"/>
      <c r="M22" s="3430"/>
      <c r="N22" s="3430"/>
      <c r="O22" s="3430"/>
      <c r="P22" s="3430"/>
      <c r="Q22" s="3430"/>
      <c r="R22" s="3430"/>
      <c r="S22" s="3430"/>
    </row>
    <row r="23" spans="2:47" ht="20.25" hidden="1" customHeight="1" x14ac:dyDescent="0.25">
      <c r="D23" s="801"/>
      <c r="F23" s="801"/>
      <c r="G23" s="801"/>
      <c r="H23" s="801"/>
      <c r="I23" s="801"/>
      <c r="J23" s="801"/>
      <c r="K23" s="801"/>
      <c r="L23" s="801"/>
      <c r="M23" s="801"/>
      <c r="N23" s="801"/>
      <c r="O23" s="801"/>
      <c r="P23" s="801"/>
      <c r="Q23" s="801"/>
      <c r="R23" s="801"/>
      <c r="S23" s="801"/>
      <c r="AE23" s="712"/>
      <c r="AF23" s="712"/>
      <c r="AG23" s="712"/>
      <c r="AH23" s="712"/>
      <c r="AI23" s="712"/>
      <c r="AJ23" s="712"/>
    </row>
    <row r="24" spans="2:47" ht="20.25" customHeight="1" x14ac:dyDescent="0.25">
      <c r="B24" s="3431" t="s">
        <v>2547</v>
      </c>
      <c r="C24" s="3431"/>
      <c r="D24" s="3431"/>
      <c r="E24" s="3431"/>
      <c r="F24" s="3431"/>
      <c r="G24" s="3431"/>
      <c r="H24" s="3431"/>
      <c r="I24" s="3431"/>
      <c r="J24" s="3431"/>
      <c r="K24" s="3431"/>
      <c r="L24" s="3431"/>
      <c r="M24" s="3431"/>
      <c r="N24" s="3431"/>
      <c r="O24" s="3431"/>
      <c r="P24" s="3431"/>
      <c r="Q24" s="3431"/>
      <c r="R24" s="802"/>
      <c r="S24" s="802"/>
      <c r="AE24" s="712"/>
      <c r="AF24" s="712"/>
      <c r="AG24" s="712"/>
      <c r="AH24" s="712"/>
      <c r="AI24" s="712"/>
      <c r="AJ24" s="712"/>
    </row>
    <row r="25" spans="2:47" ht="20.25" customHeight="1" thickBot="1" x14ac:dyDescent="0.3">
      <c r="D25" s="802"/>
      <c r="E25" s="802"/>
      <c r="F25" s="802"/>
      <c r="G25" s="802"/>
      <c r="H25" s="802"/>
      <c r="I25" s="802"/>
      <c r="J25" s="802"/>
      <c r="K25" s="802"/>
      <c r="L25" s="802"/>
      <c r="M25" s="802"/>
      <c r="N25" s="802"/>
      <c r="O25" s="802"/>
      <c r="P25" s="802"/>
      <c r="Q25" s="802"/>
      <c r="R25" s="802"/>
      <c r="S25" s="802"/>
      <c r="AE25" s="712"/>
      <c r="AF25" s="712"/>
      <c r="AG25" s="712"/>
      <c r="AH25" s="712"/>
      <c r="AI25" s="712"/>
      <c r="AJ25" s="712"/>
    </row>
    <row r="26" spans="2:47" ht="20.25" customHeight="1" x14ac:dyDescent="0.25">
      <c r="B26" s="3412"/>
      <c r="C26" s="3413"/>
      <c r="D26" s="3413"/>
      <c r="E26" s="3413"/>
      <c r="F26" s="3413"/>
      <c r="G26" s="3413"/>
      <c r="H26" s="3413"/>
      <c r="I26" s="3413"/>
      <c r="J26" s="3413"/>
      <c r="K26" s="3413"/>
      <c r="L26" s="3413"/>
      <c r="M26" s="3413"/>
      <c r="N26" s="3413"/>
      <c r="O26" s="3413"/>
      <c r="P26" s="3413"/>
      <c r="Q26" s="3414"/>
      <c r="R26" s="802"/>
      <c r="S26" s="802"/>
      <c r="AE26" s="712"/>
      <c r="AF26" s="712"/>
      <c r="AG26" s="712"/>
      <c r="AH26" s="712"/>
      <c r="AI26" s="712"/>
      <c r="AJ26" s="712"/>
    </row>
    <row r="27" spans="2:47" ht="20.25" customHeight="1" x14ac:dyDescent="0.25">
      <c r="B27" s="3415"/>
      <c r="C27" s="3361"/>
      <c r="D27" s="3361"/>
      <c r="E27" s="3361"/>
      <c r="F27" s="3361"/>
      <c r="G27" s="3361"/>
      <c r="H27" s="3361"/>
      <c r="I27" s="3361"/>
      <c r="J27" s="3361"/>
      <c r="K27" s="3361"/>
      <c r="L27" s="3361"/>
      <c r="M27" s="3361"/>
      <c r="N27" s="3361"/>
      <c r="O27" s="3361"/>
      <c r="P27" s="3361"/>
      <c r="Q27" s="3416"/>
      <c r="R27" s="802"/>
      <c r="S27" s="802"/>
      <c r="AE27" s="712"/>
      <c r="AF27" s="712"/>
      <c r="AG27" s="712"/>
      <c r="AH27" s="712"/>
      <c r="AI27" s="712"/>
      <c r="AJ27" s="712"/>
    </row>
    <row r="28" spans="2:47" ht="20.25" customHeight="1" x14ac:dyDescent="0.25">
      <c r="B28" s="3415"/>
      <c r="C28" s="3361"/>
      <c r="D28" s="3361"/>
      <c r="E28" s="3361"/>
      <c r="F28" s="3361"/>
      <c r="G28" s="3361"/>
      <c r="H28" s="3361"/>
      <c r="I28" s="3361"/>
      <c r="J28" s="3361"/>
      <c r="K28" s="3361"/>
      <c r="L28" s="3361"/>
      <c r="M28" s="3361"/>
      <c r="N28" s="3361"/>
      <c r="O28" s="3361"/>
      <c r="P28" s="3361"/>
      <c r="Q28" s="3416"/>
    </row>
    <row r="29" spans="2:47" ht="20.25" customHeight="1" x14ac:dyDescent="0.25">
      <c r="B29" s="3415"/>
      <c r="C29" s="3361"/>
      <c r="D29" s="3361"/>
      <c r="E29" s="3361"/>
      <c r="F29" s="3361"/>
      <c r="G29" s="3361"/>
      <c r="H29" s="3361"/>
      <c r="I29" s="3361"/>
      <c r="J29" s="3361"/>
      <c r="K29" s="3361"/>
      <c r="L29" s="3361"/>
      <c r="M29" s="3361"/>
      <c r="N29" s="3361"/>
      <c r="O29" s="3361"/>
      <c r="P29" s="3361"/>
      <c r="Q29" s="3416"/>
    </row>
    <row r="30" spans="2:47" ht="20.25" customHeight="1" x14ac:dyDescent="0.25">
      <c r="B30" s="3415"/>
      <c r="C30" s="3361"/>
      <c r="D30" s="3361"/>
      <c r="E30" s="3361"/>
      <c r="F30" s="3361"/>
      <c r="G30" s="3361"/>
      <c r="H30" s="3361"/>
      <c r="I30" s="3361"/>
      <c r="J30" s="3361"/>
      <c r="K30" s="3361"/>
      <c r="L30" s="3361"/>
      <c r="M30" s="3361"/>
      <c r="N30" s="3361"/>
      <c r="O30" s="3361"/>
      <c r="P30" s="3361"/>
      <c r="Q30" s="3416"/>
    </row>
    <row r="31" spans="2:47" ht="20.25" customHeight="1" x14ac:dyDescent="0.25">
      <c r="B31" s="3415"/>
      <c r="C31" s="3361"/>
      <c r="D31" s="3361"/>
      <c r="E31" s="3361"/>
      <c r="F31" s="3361"/>
      <c r="G31" s="3361"/>
      <c r="H31" s="3361"/>
      <c r="I31" s="3361"/>
      <c r="J31" s="3361"/>
      <c r="K31" s="3361"/>
      <c r="L31" s="3361"/>
      <c r="M31" s="3361"/>
      <c r="N31" s="3361"/>
      <c r="O31" s="3361"/>
      <c r="P31" s="3361"/>
      <c r="Q31" s="3416"/>
    </row>
    <row r="32" spans="2:47" ht="20.25" customHeight="1" x14ac:dyDescent="0.25">
      <c r="B32" s="3415"/>
      <c r="C32" s="3361"/>
      <c r="D32" s="3361"/>
      <c r="E32" s="3361"/>
      <c r="F32" s="3361"/>
      <c r="G32" s="3361"/>
      <c r="H32" s="3361"/>
      <c r="I32" s="3361"/>
      <c r="J32" s="3361"/>
      <c r="K32" s="3361"/>
      <c r="L32" s="3361"/>
      <c r="M32" s="3361"/>
      <c r="N32" s="3361"/>
      <c r="O32" s="3361"/>
      <c r="P32" s="3361"/>
      <c r="Q32" s="3416"/>
    </row>
    <row r="33" spans="2:18" ht="20.25" customHeight="1" x14ac:dyDescent="0.25">
      <c r="B33" s="3415"/>
      <c r="C33" s="3361"/>
      <c r="D33" s="3361"/>
      <c r="E33" s="3361"/>
      <c r="F33" s="3361"/>
      <c r="G33" s="3361"/>
      <c r="H33" s="3361"/>
      <c r="I33" s="3361"/>
      <c r="J33" s="3361"/>
      <c r="K33" s="3361"/>
      <c r="L33" s="3361"/>
      <c r="M33" s="3361"/>
      <c r="N33" s="3361"/>
      <c r="O33" s="3361"/>
      <c r="P33" s="3361"/>
      <c r="Q33" s="3416"/>
    </row>
    <row r="34" spans="2:18" ht="20.25" customHeight="1" x14ac:dyDescent="0.25">
      <c r="B34" s="3415"/>
      <c r="C34" s="3361"/>
      <c r="D34" s="3361"/>
      <c r="E34" s="3361"/>
      <c r="F34" s="3361"/>
      <c r="G34" s="3361"/>
      <c r="H34" s="3361"/>
      <c r="I34" s="3361"/>
      <c r="J34" s="3361"/>
      <c r="K34" s="3361"/>
      <c r="L34" s="3361"/>
      <c r="M34" s="3361"/>
      <c r="N34" s="3361"/>
      <c r="O34" s="3361"/>
      <c r="P34" s="3361"/>
      <c r="Q34" s="3416"/>
    </row>
    <row r="35" spans="2:18" ht="20.25" customHeight="1" x14ac:dyDescent="0.25">
      <c r="B35" s="3415"/>
      <c r="C35" s="3361"/>
      <c r="D35" s="3361"/>
      <c r="E35" s="3361"/>
      <c r="F35" s="3361"/>
      <c r="G35" s="3361"/>
      <c r="H35" s="3361"/>
      <c r="I35" s="3361"/>
      <c r="J35" s="3361"/>
      <c r="K35" s="3361"/>
      <c r="L35" s="3361"/>
      <c r="M35" s="3361"/>
      <c r="N35" s="3361"/>
      <c r="O35" s="3361"/>
      <c r="P35" s="3361"/>
      <c r="Q35" s="3416"/>
    </row>
    <row r="36" spans="2:18" ht="20.25" customHeight="1" x14ac:dyDescent="0.25">
      <c r="B36" s="3415"/>
      <c r="C36" s="3361"/>
      <c r="D36" s="3361"/>
      <c r="E36" s="3361"/>
      <c r="F36" s="3361"/>
      <c r="G36" s="3361"/>
      <c r="H36" s="3361"/>
      <c r="I36" s="3361"/>
      <c r="J36" s="3361"/>
      <c r="K36" s="3361"/>
      <c r="L36" s="3361"/>
      <c r="M36" s="3361"/>
      <c r="N36" s="3361"/>
      <c r="O36" s="3361"/>
      <c r="P36" s="3361"/>
      <c r="Q36" s="3416"/>
    </row>
    <row r="37" spans="2:18" ht="20.25" customHeight="1" x14ac:dyDescent="0.25">
      <c r="B37" s="3415"/>
      <c r="C37" s="3361"/>
      <c r="D37" s="3361"/>
      <c r="E37" s="3361"/>
      <c r="F37" s="3361"/>
      <c r="G37" s="3361"/>
      <c r="H37" s="3361"/>
      <c r="I37" s="3361"/>
      <c r="J37" s="3361"/>
      <c r="K37" s="3361"/>
      <c r="L37" s="3361"/>
      <c r="M37" s="3361"/>
      <c r="N37" s="3361"/>
      <c r="O37" s="3361"/>
      <c r="P37" s="3361"/>
      <c r="Q37" s="3416"/>
      <c r="R37" s="681" t="s">
        <v>186</v>
      </c>
    </row>
    <row r="38" spans="2:18" ht="20.25" customHeight="1" x14ac:dyDescent="0.25">
      <c r="B38" s="3415"/>
      <c r="C38" s="3361"/>
      <c r="D38" s="3361"/>
      <c r="E38" s="3361"/>
      <c r="F38" s="3361"/>
      <c r="G38" s="3361"/>
      <c r="H38" s="3361"/>
      <c r="I38" s="3361"/>
      <c r="J38" s="3361"/>
      <c r="K38" s="3361"/>
      <c r="L38" s="3361"/>
      <c r="M38" s="3361"/>
      <c r="N38" s="3361"/>
      <c r="O38" s="3361"/>
      <c r="P38" s="3361"/>
      <c r="Q38" s="3416"/>
    </row>
    <row r="39" spans="2:18" ht="20.25" customHeight="1" x14ac:dyDescent="0.25">
      <c r="B39" s="3415"/>
      <c r="C39" s="3361"/>
      <c r="D39" s="3361"/>
      <c r="E39" s="3361"/>
      <c r="F39" s="3361"/>
      <c r="G39" s="3361"/>
      <c r="H39" s="3361"/>
      <c r="I39" s="3361"/>
      <c r="J39" s="3361"/>
      <c r="K39" s="3361"/>
      <c r="L39" s="3361"/>
      <c r="M39" s="3361"/>
      <c r="N39" s="3361"/>
      <c r="O39" s="3361"/>
      <c r="P39" s="3361"/>
      <c r="Q39" s="3416"/>
    </row>
    <row r="40" spans="2:18" ht="20.25" customHeight="1" x14ac:dyDescent="0.25">
      <c r="B40" s="3415"/>
      <c r="C40" s="3361"/>
      <c r="D40" s="3361"/>
      <c r="E40" s="3361"/>
      <c r="F40" s="3361"/>
      <c r="G40" s="3361"/>
      <c r="H40" s="3361"/>
      <c r="I40" s="3361"/>
      <c r="J40" s="3361"/>
      <c r="K40" s="3361"/>
      <c r="L40" s="3361"/>
      <c r="M40" s="3361"/>
      <c r="N40" s="3361"/>
      <c r="O40" s="3361"/>
      <c r="P40" s="3361"/>
      <c r="Q40" s="3416"/>
    </row>
    <row r="41" spans="2:18" ht="20.25" customHeight="1" x14ac:dyDescent="0.25">
      <c r="B41" s="3415"/>
      <c r="C41" s="3361"/>
      <c r="D41" s="3361"/>
      <c r="E41" s="3361"/>
      <c r="F41" s="3361"/>
      <c r="G41" s="3361"/>
      <c r="H41" s="3361"/>
      <c r="I41" s="3361"/>
      <c r="J41" s="3361"/>
      <c r="K41" s="3361"/>
      <c r="L41" s="3361"/>
      <c r="M41" s="3361"/>
      <c r="N41" s="3361"/>
      <c r="O41" s="3361"/>
      <c r="P41" s="3361"/>
      <c r="Q41" s="3416"/>
    </row>
    <row r="42" spans="2:18" ht="20.25" customHeight="1" x14ac:dyDescent="0.25">
      <c r="B42" s="3415"/>
      <c r="C42" s="3361"/>
      <c r="D42" s="3361"/>
      <c r="E42" s="3361"/>
      <c r="F42" s="3361"/>
      <c r="G42" s="3361"/>
      <c r="H42" s="3361"/>
      <c r="I42" s="3361"/>
      <c r="J42" s="3361"/>
      <c r="K42" s="3361"/>
      <c r="L42" s="3361"/>
      <c r="M42" s="3361"/>
      <c r="N42" s="3361"/>
      <c r="O42" s="3361"/>
      <c r="P42" s="3361"/>
      <c r="Q42" s="3416"/>
    </row>
    <row r="43" spans="2:18" ht="20.25" customHeight="1" x14ac:dyDescent="0.25">
      <c r="B43" s="3415"/>
      <c r="C43" s="3361"/>
      <c r="D43" s="3361"/>
      <c r="E43" s="3361"/>
      <c r="F43" s="3361"/>
      <c r="G43" s="3361"/>
      <c r="H43" s="3361"/>
      <c r="I43" s="3361"/>
      <c r="J43" s="3361"/>
      <c r="K43" s="3361"/>
      <c r="L43" s="3361"/>
      <c r="M43" s="3361"/>
      <c r="N43" s="3361"/>
      <c r="O43" s="3361"/>
      <c r="P43" s="3361"/>
      <c r="Q43" s="3416"/>
    </row>
    <row r="44" spans="2:18" ht="20.25" customHeight="1" x14ac:dyDescent="0.25">
      <c r="B44" s="3415"/>
      <c r="C44" s="3361"/>
      <c r="D44" s="3361"/>
      <c r="E44" s="3361"/>
      <c r="F44" s="3361"/>
      <c r="G44" s="3361"/>
      <c r="H44" s="3361"/>
      <c r="I44" s="3361"/>
      <c r="J44" s="3361"/>
      <c r="K44" s="3361"/>
      <c r="L44" s="3361"/>
      <c r="M44" s="3361"/>
      <c r="N44" s="3361"/>
      <c r="O44" s="3361"/>
      <c r="P44" s="3361"/>
      <c r="Q44" s="3416"/>
    </row>
    <row r="45" spans="2:18" ht="20.25" customHeight="1" x14ac:dyDescent="0.25">
      <c r="B45" s="3415"/>
      <c r="C45" s="3361"/>
      <c r="D45" s="3361"/>
      <c r="E45" s="3361"/>
      <c r="F45" s="3361"/>
      <c r="G45" s="3361"/>
      <c r="H45" s="3361"/>
      <c r="I45" s="3361"/>
      <c r="J45" s="3361"/>
      <c r="K45" s="3361"/>
      <c r="L45" s="3361"/>
      <c r="M45" s="3361"/>
      <c r="N45" s="3361"/>
      <c r="O45" s="3361"/>
      <c r="P45" s="3361"/>
      <c r="Q45" s="3416"/>
    </row>
    <row r="46" spans="2:18" ht="20.25" customHeight="1" x14ac:dyDescent="0.25">
      <c r="B46" s="3415"/>
      <c r="C46" s="3361"/>
      <c r="D46" s="3361"/>
      <c r="E46" s="3361"/>
      <c r="F46" s="3361"/>
      <c r="G46" s="3361"/>
      <c r="H46" s="3361"/>
      <c r="I46" s="3361"/>
      <c r="J46" s="3361"/>
      <c r="K46" s="3361"/>
      <c r="L46" s="3361"/>
      <c r="M46" s="3361"/>
      <c r="N46" s="3361"/>
      <c r="O46" s="3361"/>
      <c r="P46" s="3361"/>
      <c r="Q46" s="3416"/>
    </row>
    <row r="47" spans="2:18" ht="20.25" customHeight="1" x14ac:dyDescent="0.25">
      <c r="B47" s="3415"/>
      <c r="C47" s="3361"/>
      <c r="D47" s="3361"/>
      <c r="E47" s="3361"/>
      <c r="F47" s="3361"/>
      <c r="G47" s="3361"/>
      <c r="H47" s="3361"/>
      <c r="I47" s="3361"/>
      <c r="J47" s="3361"/>
      <c r="K47" s="3361"/>
      <c r="L47" s="3361"/>
      <c r="M47" s="3361"/>
      <c r="N47" s="3361"/>
      <c r="O47" s="3361"/>
      <c r="P47" s="3361"/>
      <c r="Q47" s="3416"/>
    </row>
    <row r="48" spans="2:18" ht="20.25" customHeight="1" x14ac:dyDescent="0.25">
      <c r="B48" s="3415"/>
      <c r="C48" s="3361"/>
      <c r="D48" s="3361"/>
      <c r="E48" s="3361"/>
      <c r="F48" s="3361"/>
      <c r="G48" s="3361"/>
      <c r="H48" s="3361"/>
      <c r="I48" s="3361"/>
      <c r="J48" s="3361"/>
      <c r="K48" s="3361"/>
      <c r="L48" s="3361"/>
      <c r="M48" s="3361"/>
      <c r="N48" s="3361"/>
      <c r="O48" s="3361"/>
      <c r="P48" s="3361"/>
      <c r="Q48" s="3416"/>
    </row>
    <row r="49" spans="1:17" ht="20.25" customHeight="1" x14ac:dyDescent="0.25">
      <c r="B49" s="3415"/>
      <c r="C49" s="3361"/>
      <c r="D49" s="3361"/>
      <c r="E49" s="3361"/>
      <c r="F49" s="3361"/>
      <c r="G49" s="3361"/>
      <c r="H49" s="3361"/>
      <c r="I49" s="3361"/>
      <c r="J49" s="3361"/>
      <c r="K49" s="3361"/>
      <c r="L49" s="3361"/>
      <c r="M49" s="3361"/>
      <c r="N49" s="3361"/>
      <c r="O49" s="3361"/>
      <c r="P49" s="3361"/>
      <c r="Q49" s="3416"/>
    </row>
    <row r="50" spans="1:17" ht="20.25" customHeight="1" x14ac:dyDescent="0.25">
      <c r="B50" s="3415"/>
      <c r="C50" s="3361"/>
      <c r="D50" s="3361"/>
      <c r="E50" s="3361"/>
      <c r="F50" s="3361"/>
      <c r="G50" s="3361"/>
      <c r="H50" s="3361"/>
      <c r="I50" s="3361"/>
      <c r="J50" s="3361"/>
      <c r="K50" s="3361"/>
      <c r="L50" s="3361"/>
      <c r="M50" s="3361"/>
      <c r="N50" s="3361"/>
      <c r="O50" s="3361"/>
      <c r="P50" s="3361"/>
      <c r="Q50" s="3416"/>
    </row>
    <row r="51" spans="1:17" ht="20.25" customHeight="1" x14ac:dyDescent="0.25">
      <c r="B51" s="3415"/>
      <c r="C51" s="3361"/>
      <c r="D51" s="3361"/>
      <c r="E51" s="3361"/>
      <c r="F51" s="3361"/>
      <c r="G51" s="3361"/>
      <c r="H51" s="3361"/>
      <c r="I51" s="3361"/>
      <c r="J51" s="3361"/>
      <c r="K51" s="3361"/>
      <c r="L51" s="3361"/>
      <c r="M51" s="3361"/>
      <c r="N51" s="3361"/>
      <c r="O51" s="3361"/>
      <c r="P51" s="3361"/>
      <c r="Q51" s="3416"/>
    </row>
    <row r="52" spans="1:17" ht="20.25" customHeight="1" x14ac:dyDescent="0.25">
      <c r="B52" s="3415"/>
      <c r="C52" s="3361"/>
      <c r="D52" s="3361"/>
      <c r="E52" s="3361"/>
      <c r="F52" s="3361"/>
      <c r="G52" s="3361"/>
      <c r="H52" s="3361"/>
      <c r="I52" s="3361"/>
      <c r="J52" s="3361"/>
      <c r="K52" s="3361"/>
      <c r="L52" s="3361"/>
      <c r="M52" s="3361"/>
      <c r="N52" s="3361"/>
      <c r="O52" s="3361"/>
      <c r="P52" s="3361"/>
      <c r="Q52" s="3416"/>
    </row>
    <row r="53" spans="1:17" ht="20.25" customHeight="1" x14ac:dyDescent="0.25">
      <c r="B53" s="3415"/>
      <c r="C53" s="3361"/>
      <c r="D53" s="3361"/>
      <c r="E53" s="3361"/>
      <c r="F53" s="3361"/>
      <c r="G53" s="3361"/>
      <c r="H53" s="3361"/>
      <c r="I53" s="3361"/>
      <c r="J53" s="3361"/>
      <c r="K53" s="3361"/>
      <c r="L53" s="3361"/>
      <c r="M53" s="3361"/>
      <c r="N53" s="3361"/>
      <c r="O53" s="3361"/>
      <c r="P53" s="3361"/>
      <c r="Q53" s="3416"/>
    </row>
    <row r="54" spans="1:17" ht="20.25" customHeight="1" x14ac:dyDescent="0.25">
      <c r="B54" s="3415"/>
      <c r="C54" s="3361"/>
      <c r="D54" s="3361"/>
      <c r="E54" s="3361"/>
      <c r="F54" s="3361"/>
      <c r="G54" s="3361"/>
      <c r="H54" s="3361"/>
      <c r="I54" s="3361"/>
      <c r="J54" s="3361"/>
      <c r="K54" s="3361"/>
      <c r="L54" s="3361"/>
      <c r="M54" s="3361"/>
      <c r="N54" s="3361"/>
      <c r="O54" s="3361"/>
      <c r="P54" s="3361"/>
      <c r="Q54" s="3416"/>
    </row>
    <row r="55" spans="1:17" ht="20.25" customHeight="1" x14ac:dyDescent="0.25">
      <c r="B55" s="3415"/>
      <c r="C55" s="3361"/>
      <c r="D55" s="3361"/>
      <c r="E55" s="3361"/>
      <c r="F55" s="3361"/>
      <c r="G55" s="3361"/>
      <c r="H55" s="3361"/>
      <c r="I55" s="3361"/>
      <c r="J55" s="3361"/>
      <c r="K55" s="3361"/>
      <c r="L55" s="3361"/>
      <c r="M55" s="3361"/>
      <c r="N55" s="3361"/>
      <c r="O55" s="3361"/>
      <c r="P55" s="3361"/>
      <c r="Q55" s="3416"/>
    </row>
    <row r="56" spans="1:17" ht="20.25" customHeight="1" thickBot="1" x14ac:dyDescent="0.3">
      <c r="B56" s="3417"/>
      <c r="C56" s="3418"/>
      <c r="D56" s="3418"/>
      <c r="E56" s="3418"/>
      <c r="F56" s="3418"/>
      <c r="G56" s="3418"/>
      <c r="H56" s="3418"/>
      <c r="I56" s="3418"/>
      <c r="J56" s="3418"/>
      <c r="K56" s="3418"/>
      <c r="L56" s="3418"/>
      <c r="M56" s="3418"/>
      <c r="N56" s="3418"/>
      <c r="O56" s="3418"/>
      <c r="P56" s="3418"/>
      <c r="Q56" s="3419"/>
    </row>
    <row r="60" spans="1:17" ht="20.25" customHeight="1" thickBot="1" x14ac:dyDescent="0.3">
      <c r="B60" s="3411" t="s">
        <v>2605</v>
      </c>
      <c r="C60" s="3411"/>
      <c r="D60" s="3411"/>
      <c r="E60" s="3411"/>
      <c r="F60" s="3411"/>
      <c r="G60" s="3411"/>
      <c r="H60" s="3411"/>
      <c r="I60" s="3411"/>
      <c r="J60" s="3411"/>
      <c r="K60" s="3411"/>
      <c r="L60" s="3411"/>
      <c r="M60" s="3411"/>
      <c r="N60" s="3411"/>
      <c r="O60" s="3411"/>
      <c r="P60" s="3411"/>
      <c r="Q60" s="3411"/>
    </row>
    <row r="61" spans="1:17" ht="20.25" customHeight="1" x14ac:dyDescent="0.25">
      <c r="B61" s="3412"/>
      <c r="C61" s="3413"/>
      <c r="D61" s="3413"/>
      <c r="E61" s="3413"/>
      <c r="F61" s="3413"/>
      <c r="G61" s="3413"/>
      <c r="H61" s="3413"/>
      <c r="I61" s="3413"/>
      <c r="J61" s="3413"/>
      <c r="K61" s="3413"/>
      <c r="L61" s="3413"/>
      <c r="M61" s="3413"/>
      <c r="N61" s="3413"/>
      <c r="O61" s="3413"/>
      <c r="P61" s="3413"/>
      <c r="Q61" s="3414"/>
    </row>
    <row r="62" spans="1:17" ht="20.25" customHeight="1" x14ac:dyDescent="0.25">
      <c r="B62" s="3415"/>
      <c r="C62" s="3361"/>
      <c r="D62" s="3361"/>
      <c r="E62" s="3361"/>
      <c r="F62" s="3361"/>
      <c r="G62" s="3361"/>
      <c r="H62" s="3361"/>
      <c r="I62" s="3361"/>
      <c r="J62" s="3361"/>
      <c r="K62" s="3361"/>
      <c r="L62" s="3361"/>
      <c r="M62" s="3361"/>
      <c r="N62" s="3361"/>
      <c r="O62" s="3361"/>
      <c r="P62" s="3361"/>
      <c r="Q62" s="3416"/>
    </row>
    <row r="63" spans="1:17" ht="20.25" customHeight="1" x14ac:dyDescent="0.25">
      <c r="A63" s="3422"/>
      <c r="B63" s="3415"/>
      <c r="C63" s="3361"/>
      <c r="D63" s="3361"/>
      <c r="E63" s="3361"/>
      <c r="F63" s="3361"/>
      <c r="G63" s="3361"/>
      <c r="H63" s="3361"/>
      <c r="I63" s="3361"/>
      <c r="J63" s="3361"/>
      <c r="K63" s="3361"/>
      <c r="L63" s="3361"/>
      <c r="M63" s="3361"/>
      <c r="N63" s="3361"/>
      <c r="O63" s="3361"/>
      <c r="P63" s="3361"/>
      <c r="Q63" s="3416"/>
    </row>
    <row r="64" spans="1:17" ht="1.5" customHeight="1" x14ac:dyDescent="0.25">
      <c r="A64" s="3422"/>
      <c r="B64" s="3415"/>
      <c r="C64" s="3361"/>
      <c r="D64" s="3361"/>
      <c r="E64" s="3361"/>
      <c r="F64" s="3361"/>
      <c r="G64" s="3361"/>
      <c r="H64" s="3361"/>
      <c r="I64" s="3361"/>
      <c r="J64" s="3361"/>
      <c r="K64" s="3361"/>
      <c r="L64" s="3361"/>
      <c r="M64" s="3361"/>
      <c r="N64" s="3361"/>
      <c r="O64" s="3361"/>
      <c r="P64" s="3361"/>
      <c r="Q64" s="3416"/>
    </row>
    <row r="65" spans="1:17" ht="20.25" customHeight="1" x14ac:dyDescent="0.25">
      <c r="A65" s="3422"/>
      <c r="B65" s="3415"/>
      <c r="C65" s="3361"/>
      <c r="D65" s="3361"/>
      <c r="E65" s="3361"/>
      <c r="F65" s="3361"/>
      <c r="G65" s="3361"/>
      <c r="H65" s="3361"/>
      <c r="I65" s="3361"/>
      <c r="J65" s="3361"/>
      <c r="K65" s="3361"/>
      <c r="L65" s="3361"/>
      <c r="M65" s="3361"/>
      <c r="N65" s="3361"/>
      <c r="O65" s="3361"/>
      <c r="P65" s="3361"/>
      <c r="Q65" s="3416"/>
    </row>
    <row r="66" spans="1:17" ht="20.25" customHeight="1" x14ac:dyDescent="0.25">
      <c r="A66" s="3422"/>
      <c r="B66" s="3415"/>
      <c r="C66" s="3361"/>
      <c r="D66" s="3361"/>
      <c r="E66" s="3361"/>
      <c r="F66" s="3361"/>
      <c r="G66" s="3361"/>
      <c r="H66" s="3361"/>
      <c r="I66" s="3361"/>
      <c r="J66" s="3361"/>
      <c r="K66" s="3361"/>
      <c r="L66" s="3361"/>
      <c r="M66" s="3361"/>
      <c r="N66" s="3361"/>
      <c r="O66" s="3361"/>
      <c r="P66" s="3361"/>
      <c r="Q66" s="3416"/>
    </row>
    <row r="67" spans="1:17" ht="20.25" customHeight="1" x14ac:dyDescent="0.25">
      <c r="A67" s="3422"/>
      <c r="B67" s="3415"/>
      <c r="C67" s="3361"/>
      <c r="D67" s="3361"/>
      <c r="E67" s="3361"/>
      <c r="F67" s="3361"/>
      <c r="G67" s="3361"/>
      <c r="H67" s="3361"/>
      <c r="I67" s="3361"/>
      <c r="J67" s="3361"/>
      <c r="K67" s="3361"/>
      <c r="L67" s="3361"/>
      <c r="M67" s="3361"/>
      <c r="N67" s="3361"/>
      <c r="O67" s="3361"/>
      <c r="P67" s="3361"/>
      <c r="Q67" s="3416"/>
    </row>
    <row r="68" spans="1:17" ht="20.25" customHeight="1" x14ac:dyDescent="0.25">
      <c r="A68" s="3422"/>
      <c r="B68" s="3415"/>
      <c r="C68" s="3361"/>
      <c r="D68" s="3361"/>
      <c r="E68" s="3361"/>
      <c r="F68" s="3361"/>
      <c r="G68" s="3361"/>
      <c r="H68" s="3361"/>
      <c r="I68" s="3361"/>
      <c r="J68" s="3361"/>
      <c r="K68" s="3361"/>
      <c r="L68" s="3361"/>
      <c r="M68" s="3361"/>
      <c r="N68" s="3361"/>
      <c r="O68" s="3361"/>
      <c r="P68" s="3361"/>
      <c r="Q68" s="3416"/>
    </row>
    <row r="69" spans="1:17" ht="20.25" customHeight="1" x14ac:dyDescent="0.25">
      <c r="A69" s="3422"/>
      <c r="B69" s="3415"/>
      <c r="C69" s="3361"/>
      <c r="D69" s="3361"/>
      <c r="E69" s="3361"/>
      <c r="F69" s="3361"/>
      <c r="G69" s="3361"/>
      <c r="H69" s="3361"/>
      <c r="I69" s="3361"/>
      <c r="J69" s="3361"/>
      <c r="K69" s="3361"/>
      <c r="L69" s="3361"/>
      <c r="M69" s="3361"/>
      <c r="N69" s="3361"/>
      <c r="O69" s="3361"/>
      <c r="P69" s="3361"/>
      <c r="Q69" s="3416"/>
    </row>
    <row r="70" spans="1:17" ht="20.25" customHeight="1" x14ac:dyDescent="0.25">
      <c r="A70" s="3422"/>
      <c r="B70" s="3415"/>
      <c r="C70" s="3361"/>
      <c r="D70" s="3361"/>
      <c r="E70" s="3361"/>
      <c r="F70" s="3361"/>
      <c r="G70" s="3361"/>
      <c r="H70" s="3361"/>
      <c r="I70" s="3361"/>
      <c r="J70" s="3361"/>
      <c r="K70" s="3361"/>
      <c r="L70" s="3361"/>
      <c r="M70" s="3361"/>
      <c r="N70" s="3361"/>
      <c r="O70" s="3361"/>
      <c r="P70" s="3361"/>
      <c r="Q70" s="3416"/>
    </row>
    <row r="71" spans="1:17" ht="20.25" customHeight="1" x14ac:dyDescent="0.25">
      <c r="B71" s="3415"/>
      <c r="C71" s="3361"/>
      <c r="D71" s="3361"/>
      <c r="E71" s="3361"/>
      <c r="F71" s="3361"/>
      <c r="G71" s="3361"/>
      <c r="H71" s="3361"/>
      <c r="I71" s="3361"/>
      <c r="J71" s="3361"/>
      <c r="K71" s="3361"/>
      <c r="L71" s="3361"/>
      <c r="M71" s="3361"/>
      <c r="N71" s="3361"/>
      <c r="O71" s="3361"/>
      <c r="P71" s="3361"/>
      <c r="Q71" s="3416"/>
    </row>
    <row r="72" spans="1:17" ht="20.25" customHeight="1" x14ac:dyDescent="0.25">
      <c r="B72" s="3415"/>
      <c r="C72" s="3361"/>
      <c r="D72" s="3361"/>
      <c r="E72" s="3361"/>
      <c r="F72" s="3361"/>
      <c r="G72" s="3361"/>
      <c r="H72" s="3361"/>
      <c r="I72" s="3361"/>
      <c r="J72" s="3361"/>
      <c r="K72" s="3361"/>
      <c r="L72" s="3361"/>
      <c r="M72" s="3361"/>
      <c r="N72" s="3361"/>
      <c r="O72" s="3361"/>
      <c r="P72" s="3361"/>
      <c r="Q72" s="3416"/>
    </row>
    <row r="73" spans="1:17" ht="20.25" customHeight="1" x14ac:dyDescent="0.25">
      <c r="B73" s="3415"/>
      <c r="C73" s="3361"/>
      <c r="D73" s="3361"/>
      <c r="E73" s="3361"/>
      <c r="F73" s="3361"/>
      <c r="G73" s="3361"/>
      <c r="H73" s="3361"/>
      <c r="I73" s="3361"/>
      <c r="J73" s="3361"/>
      <c r="K73" s="3361"/>
      <c r="L73" s="3361"/>
      <c r="M73" s="3361"/>
      <c r="N73" s="3361"/>
      <c r="O73" s="3361"/>
      <c r="P73" s="3361"/>
      <c r="Q73" s="3416"/>
    </row>
    <row r="74" spans="1:17" ht="20.25" customHeight="1" x14ac:dyDescent="0.25">
      <c r="B74" s="3415"/>
      <c r="C74" s="3361"/>
      <c r="D74" s="3361"/>
      <c r="E74" s="3361"/>
      <c r="F74" s="3361"/>
      <c r="G74" s="3361"/>
      <c r="H74" s="3361"/>
      <c r="I74" s="3361"/>
      <c r="J74" s="3361"/>
      <c r="K74" s="3361"/>
      <c r="L74" s="3361"/>
      <c r="M74" s="3361"/>
      <c r="N74" s="3361"/>
      <c r="O74" s="3361"/>
      <c r="P74" s="3361"/>
      <c r="Q74" s="3416"/>
    </row>
    <row r="75" spans="1:17" ht="20.25" customHeight="1" x14ac:dyDescent="0.25">
      <c r="B75" s="3415"/>
      <c r="C75" s="3361"/>
      <c r="D75" s="3361"/>
      <c r="E75" s="3361"/>
      <c r="F75" s="3361"/>
      <c r="G75" s="3361"/>
      <c r="H75" s="3361"/>
      <c r="I75" s="3361"/>
      <c r="J75" s="3361"/>
      <c r="K75" s="3361"/>
      <c r="L75" s="3361"/>
      <c r="M75" s="3361"/>
      <c r="N75" s="3361"/>
      <c r="O75" s="3361"/>
      <c r="P75" s="3361"/>
      <c r="Q75" s="3416"/>
    </row>
    <row r="76" spans="1:17" ht="20.25" customHeight="1" x14ac:dyDescent="0.25">
      <c r="B76" s="3415"/>
      <c r="C76" s="3361"/>
      <c r="D76" s="3361"/>
      <c r="E76" s="3361"/>
      <c r="F76" s="3361"/>
      <c r="G76" s="3361"/>
      <c r="H76" s="3361"/>
      <c r="I76" s="3361"/>
      <c r="J76" s="3361"/>
      <c r="K76" s="3361"/>
      <c r="L76" s="3361"/>
      <c r="M76" s="3361"/>
      <c r="N76" s="3361"/>
      <c r="O76" s="3361"/>
      <c r="P76" s="3361"/>
      <c r="Q76" s="3416"/>
    </row>
    <row r="77" spans="1:17" ht="20.25" customHeight="1" x14ac:dyDescent="0.25">
      <c r="B77" s="3415"/>
      <c r="C77" s="3361"/>
      <c r="D77" s="3361"/>
      <c r="E77" s="3361"/>
      <c r="F77" s="3361"/>
      <c r="G77" s="3361"/>
      <c r="H77" s="3361"/>
      <c r="I77" s="3361"/>
      <c r="J77" s="3361"/>
      <c r="K77" s="3361"/>
      <c r="L77" s="3361"/>
      <c r="M77" s="3361"/>
      <c r="N77" s="3361"/>
      <c r="O77" s="3361"/>
      <c r="P77" s="3361"/>
      <c r="Q77" s="3416"/>
    </row>
    <row r="78" spans="1:17" ht="20.25" customHeight="1" x14ac:dyDescent="0.25">
      <c r="B78" s="3415"/>
      <c r="C78" s="3361"/>
      <c r="D78" s="3361"/>
      <c r="E78" s="3361"/>
      <c r="F78" s="3361"/>
      <c r="G78" s="3361"/>
      <c r="H78" s="3361"/>
      <c r="I78" s="3361"/>
      <c r="J78" s="3361"/>
      <c r="K78" s="3361"/>
      <c r="L78" s="3361"/>
      <c r="M78" s="3361"/>
      <c r="N78" s="3361"/>
      <c r="O78" s="3361"/>
      <c r="P78" s="3361"/>
      <c r="Q78" s="3416"/>
    </row>
    <row r="79" spans="1:17" ht="20.25" customHeight="1" x14ac:dyDescent="0.25">
      <c r="B79" s="3415"/>
      <c r="C79" s="3361"/>
      <c r="D79" s="3361"/>
      <c r="E79" s="3361"/>
      <c r="F79" s="3361"/>
      <c r="G79" s="3361"/>
      <c r="H79" s="3361"/>
      <c r="I79" s="3361"/>
      <c r="J79" s="3361"/>
      <c r="K79" s="3361"/>
      <c r="L79" s="3361"/>
      <c r="M79" s="3361"/>
      <c r="N79" s="3361"/>
      <c r="O79" s="3361"/>
      <c r="P79" s="3361"/>
      <c r="Q79" s="3416"/>
    </row>
    <row r="80" spans="1:17" ht="20.25" customHeight="1" x14ac:dyDescent="0.25">
      <c r="B80" s="3415"/>
      <c r="C80" s="3361"/>
      <c r="D80" s="3361"/>
      <c r="E80" s="3361"/>
      <c r="F80" s="3361"/>
      <c r="G80" s="3361"/>
      <c r="H80" s="3361"/>
      <c r="I80" s="3361"/>
      <c r="J80" s="3361"/>
      <c r="K80" s="3361"/>
      <c r="L80" s="3361"/>
      <c r="M80" s="3361"/>
      <c r="N80" s="3361"/>
      <c r="O80" s="3361"/>
      <c r="P80" s="3361"/>
      <c r="Q80" s="3416"/>
    </row>
    <row r="81" spans="2:17" ht="20.25" customHeight="1" x14ac:dyDescent="0.25">
      <c r="B81" s="3415"/>
      <c r="C81" s="3361"/>
      <c r="D81" s="3361"/>
      <c r="E81" s="3361"/>
      <c r="F81" s="3361"/>
      <c r="G81" s="3361"/>
      <c r="H81" s="3361"/>
      <c r="I81" s="3361"/>
      <c r="J81" s="3361"/>
      <c r="K81" s="3361"/>
      <c r="L81" s="3361"/>
      <c r="M81" s="3361"/>
      <c r="N81" s="3361"/>
      <c r="O81" s="3361"/>
      <c r="P81" s="3361"/>
      <c r="Q81" s="3416"/>
    </row>
    <row r="82" spans="2:17" ht="20.25" customHeight="1" x14ac:dyDescent="0.25">
      <c r="B82" s="3415"/>
      <c r="C82" s="3361"/>
      <c r="D82" s="3361"/>
      <c r="E82" s="3361"/>
      <c r="F82" s="3361"/>
      <c r="G82" s="3361"/>
      <c r="H82" s="3361"/>
      <c r="I82" s="3361"/>
      <c r="J82" s="3361"/>
      <c r="K82" s="3361"/>
      <c r="L82" s="3361"/>
      <c r="M82" s="3361"/>
      <c r="N82" s="3361"/>
      <c r="O82" s="3361"/>
      <c r="P82" s="3361"/>
      <c r="Q82" s="3416"/>
    </row>
    <row r="83" spans="2:17" ht="20.25" customHeight="1" x14ac:dyDescent="0.25">
      <c r="B83" s="3415"/>
      <c r="C83" s="3361"/>
      <c r="D83" s="3361"/>
      <c r="E83" s="3361"/>
      <c r="F83" s="3361"/>
      <c r="G83" s="3361"/>
      <c r="H83" s="3361"/>
      <c r="I83" s="3361"/>
      <c r="J83" s="3361"/>
      <c r="K83" s="3361"/>
      <c r="L83" s="3361"/>
      <c r="M83" s="3361"/>
      <c r="N83" s="3361"/>
      <c r="O83" s="3361"/>
      <c r="P83" s="3361"/>
      <c r="Q83" s="3416"/>
    </row>
    <row r="84" spans="2:17" ht="20.25" customHeight="1" x14ac:dyDescent="0.25">
      <c r="B84" s="3415"/>
      <c r="C84" s="3361"/>
      <c r="D84" s="3361"/>
      <c r="E84" s="3361"/>
      <c r="F84" s="3361"/>
      <c r="G84" s="3361"/>
      <c r="H84" s="3361"/>
      <c r="I84" s="3361"/>
      <c r="J84" s="3361"/>
      <c r="K84" s="3361"/>
      <c r="L84" s="3361"/>
      <c r="M84" s="3361"/>
      <c r="N84" s="3361"/>
      <c r="O84" s="3361"/>
      <c r="P84" s="3361"/>
      <c r="Q84" s="3416"/>
    </row>
    <row r="85" spans="2:17" ht="20.25" customHeight="1" x14ac:dyDescent="0.25">
      <c r="B85" s="3415"/>
      <c r="C85" s="3361"/>
      <c r="D85" s="3361"/>
      <c r="E85" s="3361"/>
      <c r="F85" s="3361"/>
      <c r="G85" s="3361"/>
      <c r="H85" s="3361"/>
      <c r="I85" s="3361"/>
      <c r="J85" s="3361"/>
      <c r="K85" s="3361"/>
      <c r="L85" s="3361"/>
      <c r="M85" s="3361"/>
      <c r="N85" s="3361"/>
      <c r="O85" s="3361"/>
      <c r="P85" s="3361"/>
      <c r="Q85" s="3416"/>
    </row>
    <row r="86" spans="2:17" ht="20.25" customHeight="1" x14ac:dyDescent="0.25">
      <c r="B86" s="3415"/>
      <c r="C86" s="3361"/>
      <c r="D86" s="3361"/>
      <c r="E86" s="3361"/>
      <c r="F86" s="3361"/>
      <c r="G86" s="3361"/>
      <c r="H86" s="3361"/>
      <c r="I86" s="3361"/>
      <c r="J86" s="3361"/>
      <c r="K86" s="3361"/>
      <c r="L86" s="3361"/>
      <c r="M86" s="3361"/>
      <c r="N86" s="3361"/>
      <c r="O86" s="3361"/>
      <c r="P86" s="3361"/>
      <c r="Q86" s="3416"/>
    </row>
    <row r="87" spans="2:17" ht="20.25" customHeight="1" x14ac:dyDescent="0.25">
      <c r="B87" s="3415"/>
      <c r="C87" s="3361"/>
      <c r="D87" s="3361"/>
      <c r="E87" s="3361"/>
      <c r="F87" s="3361"/>
      <c r="G87" s="3361"/>
      <c r="H87" s="3361"/>
      <c r="I87" s="3361"/>
      <c r="J87" s="3361"/>
      <c r="K87" s="3361"/>
      <c r="L87" s="3361"/>
      <c r="M87" s="3361"/>
      <c r="N87" s="3361"/>
      <c r="O87" s="3361"/>
      <c r="P87" s="3361"/>
      <c r="Q87" s="3416"/>
    </row>
    <row r="88" spans="2:17" ht="20.25" customHeight="1" x14ac:dyDescent="0.25">
      <c r="B88" s="3415"/>
      <c r="C88" s="3361"/>
      <c r="D88" s="3361"/>
      <c r="E88" s="3361"/>
      <c r="F88" s="3361"/>
      <c r="G88" s="3361"/>
      <c r="H88" s="3361"/>
      <c r="I88" s="3361"/>
      <c r="J88" s="3361"/>
      <c r="K88" s="3361"/>
      <c r="L88" s="3361"/>
      <c r="M88" s="3361"/>
      <c r="N88" s="3361"/>
      <c r="O88" s="3361"/>
      <c r="P88" s="3361"/>
      <c r="Q88" s="3416"/>
    </row>
    <row r="89" spans="2:17" ht="20.25" customHeight="1" x14ac:dyDescent="0.25">
      <c r="B89" s="3415"/>
      <c r="C89" s="3361"/>
      <c r="D89" s="3361"/>
      <c r="E89" s="3361"/>
      <c r="F89" s="3361"/>
      <c r="G89" s="3361"/>
      <c r="H89" s="3361"/>
      <c r="I89" s="3361"/>
      <c r="J89" s="3361"/>
      <c r="K89" s="3361"/>
      <c r="L89" s="3361"/>
      <c r="M89" s="3361"/>
      <c r="N89" s="3361"/>
      <c r="O89" s="3361"/>
      <c r="P89" s="3361"/>
      <c r="Q89" s="3416"/>
    </row>
    <row r="90" spans="2:17" ht="20.25" customHeight="1" x14ac:dyDescent="0.25">
      <c r="B90" s="3415"/>
      <c r="C90" s="3361"/>
      <c r="D90" s="3361"/>
      <c r="E90" s="3361"/>
      <c r="F90" s="3361"/>
      <c r="G90" s="3361"/>
      <c r="H90" s="3361"/>
      <c r="I90" s="3361"/>
      <c r="J90" s="3361"/>
      <c r="K90" s="3361"/>
      <c r="L90" s="3361"/>
      <c r="M90" s="3361"/>
      <c r="N90" s="3361"/>
      <c r="O90" s="3361"/>
      <c r="P90" s="3361"/>
      <c r="Q90" s="3416"/>
    </row>
    <row r="91" spans="2:17" ht="20.25" customHeight="1" x14ac:dyDescent="0.25">
      <c r="B91" s="3415"/>
      <c r="C91" s="3361"/>
      <c r="D91" s="3361"/>
      <c r="E91" s="3361"/>
      <c r="F91" s="3361"/>
      <c r="G91" s="3361"/>
      <c r="H91" s="3361"/>
      <c r="I91" s="3361"/>
      <c r="J91" s="3361"/>
      <c r="K91" s="3361"/>
      <c r="L91" s="3361"/>
      <c r="M91" s="3361"/>
      <c r="N91" s="3361"/>
      <c r="O91" s="3361"/>
      <c r="P91" s="3361"/>
      <c r="Q91" s="3416"/>
    </row>
    <row r="92" spans="2:17" ht="20.25" customHeight="1" thickBot="1" x14ac:dyDescent="0.3">
      <c r="B92" s="3417"/>
      <c r="C92" s="3418"/>
      <c r="D92" s="3418"/>
      <c r="E92" s="3418"/>
      <c r="F92" s="3418"/>
      <c r="G92" s="3418"/>
      <c r="H92" s="3418"/>
      <c r="I92" s="3418"/>
      <c r="J92" s="3418"/>
      <c r="K92" s="3418"/>
      <c r="L92" s="3418"/>
      <c r="M92" s="3418"/>
      <c r="N92" s="3418"/>
      <c r="O92" s="3418"/>
      <c r="P92" s="3418"/>
      <c r="Q92" s="3419"/>
    </row>
    <row r="93" spans="2:17" ht="20.25" customHeight="1" x14ac:dyDescent="0.25">
      <c r="B93" s="683"/>
      <c r="C93" s="683"/>
      <c r="D93" s="683"/>
      <c r="E93" s="683"/>
      <c r="F93" s="683"/>
      <c r="G93" s="683"/>
      <c r="H93" s="683"/>
      <c r="I93" s="683"/>
      <c r="J93" s="683"/>
      <c r="K93" s="683"/>
      <c r="L93" s="683"/>
      <c r="M93" s="683"/>
      <c r="N93" s="683"/>
      <c r="O93" s="683"/>
      <c r="P93" s="683"/>
      <c r="Q93" s="683"/>
    </row>
    <row r="94" spans="2:17" ht="20.25" customHeight="1" x14ac:dyDescent="0.25">
      <c r="B94" s="3420" t="s">
        <v>2606</v>
      </c>
      <c r="C94" s="3420"/>
      <c r="D94" s="3420"/>
      <c r="E94" s="3420"/>
      <c r="F94" s="3420"/>
      <c r="G94" s="3420"/>
      <c r="H94" s="3420"/>
      <c r="I94" s="3420"/>
      <c r="J94" s="3420"/>
      <c r="K94" s="3420"/>
      <c r="L94" s="3420"/>
      <c r="M94" s="3420"/>
      <c r="N94" s="3420"/>
      <c r="O94" s="3420"/>
      <c r="P94" s="3420"/>
      <c r="Q94" s="3420"/>
    </row>
    <row r="95" spans="2:17" ht="20.25" customHeight="1" x14ac:dyDescent="0.25">
      <c r="D95" s="681"/>
      <c r="E95" s="681"/>
      <c r="F95" s="681"/>
      <c r="G95" s="681"/>
      <c r="H95" s="681"/>
      <c r="I95" s="681"/>
      <c r="J95" s="681"/>
      <c r="K95" s="681"/>
      <c r="L95" s="681"/>
      <c r="M95" s="681"/>
      <c r="N95" s="681"/>
      <c r="O95" s="681"/>
      <c r="P95" s="681"/>
    </row>
    <row r="96" spans="2:17" ht="20.25" customHeight="1" x14ac:dyDescent="0.25">
      <c r="B96" s="3415"/>
      <c r="C96" s="3361"/>
      <c r="D96" s="3361"/>
      <c r="E96" s="3361"/>
      <c r="F96" s="3361"/>
      <c r="G96" s="3361"/>
      <c r="H96" s="3361"/>
      <c r="I96" s="3361"/>
      <c r="J96" s="3361"/>
      <c r="K96" s="3361"/>
      <c r="L96" s="3361"/>
      <c r="M96" s="3361"/>
      <c r="N96" s="3361"/>
      <c r="O96" s="3361"/>
      <c r="P96" s="3361"/>
      <c r="Q96" s="3416"/>
    </row>
    <row r="97" spans="2:17" ht="20.25" customHeight="1" x14ac:dyDescent="0.25">
      <c r="B97" s="3415"/>
      <c r="C97" s="3361"/>
      <c r="D97" s="3361"/>
      <c r="E97" s="3361"/>
      <c r="F97" s="3361"/>
      <c r="G97" s="3361"/>
      <c r="H97" s="3361"/>
      <c r="I97" s="3361"/>
      <c r="J97" s="3361"/>
      <c r="K97" s="3361"/>
      <c r="L97" s="3361"/>
      <c r="M97" s="3361"/>
      <c r="N97" s="3361"/>
      <c r="O97" s="3361"/>
      <c r="P97" s="3361"/>
      <c r="Q97" s="3416"/>
    </row>
    <row r="98" spans="2:17" ht="20.25" customHeight="1" x14ac:dyDescent="0.25">
      <c r="B98" s="3415"/>
      <c r="C98" s="3361"/>
      <c r="D98" s="3361"/>
      <c r="E98" s="3361"/>
      <c r="F98" s="3361"/>
      <c r="G98" s="3361"/>
      <c r="H98" s="3361"/>
      <c r="I98" s="3361"/>
      <c r="J98" s="3361"/>
      <c r="K98" s="3361"/>
      <c r="L98" s="3361"/>
      <c r="M98" s="3361"/>
      <c r="N98" s="3361"/>
      <c r="O98" s="3361"/>
      <c r="P98" s="3361"/>
      <c r="Q98" s="3416"/>
    </row>
    <row r="99" spans="2:17" ht="20.25" customHeight="1" x14ac:dyDescent="0.25">
      <c r="B99" s="3415"/>
      <c r="C99" s="3361"/>
      <c r="D99" s="3361"/>
      <c r="E99" s="3361"/>
      <c r="F99" s="3361"/>
      <c r="G99" s="3361"/>
      <c r="H99" s="3361"/>
      <c r="I99" s="3361"/>
      <c r="J99" s="3361"/>
      <c r="K99" s="3361"/>
      <c r="L99" s="3361"/>
      <c r="M99" s="3361"/>
      <c r="N99" s="3361"/>
      <c r="O99" s="3361"/>
      <c r="P99" s="3361"/>
      <c r="Q99" s="3416"/>
    </row>
    <row r="100" spans="2:17" ht="20.25" customHeight="1" x14ac:dyDescent="0.25">
      <c r="B100" s="3415"/>
      <c r="C100" s="3361"/>
      <c r="D100" s="3361"/>
      <c r="E100" s="3361"/>
      <c r="F100" s="3361"/>
      <c r="G100" s="3361"/>
      <c r="H100" s="3361"/>
      <c r="I100" s="3361"/>
      <c r="J100" s="3361"/>
      <c r="K100" s="3361"/>
      <c r="L100" s="3361"/>
      <c r="M100" s="3361"/>
      <c r="N100" s="3361"/>
      <c r="O100" s="3361"/>
      <c r="P100" s="3361"/>
      <c r="Q100" s="3416"/>
    </row>
    <row r="101" spans="2:17" ht="20.25" customHeight="1" x14ac:dyDescent="0.25">
      <c r="B101" s="3415"/>
      <c r="C101" s="3361"/>
      <c r="D101" s="3361"/>
      <c r="E101" s="3361"/>
      <c r="F101" s="3361"/>
      <c r="G101" s="3361"/>
      <c r="H101" s="3361"/>
      <c r="I101" s="3361"/>
      <c r="J101" s="3361"/>
      <c r="K101" s="3361"/>
      <c r="L101" s="3361"/>
      <c r="M101" s="3361"/>
      <c r="N101" s="3361"/>
      <c r="O101" s="3361"/>
      <c r="P101" s="3361"/>
      <c r="Q101" s="3416"/>
    </row>
    <row r="102" spans="2:17" ht="20.25" customHeight="1" x14ac:dyDescent="0.25">
      <c r="B102" s="3415"/>
      <c r="C102" s="3361"/>
      <c r="D102" s="3361"/>
      <c r="E102" s="3361"/>
      <c r="F102" s="3361"/>
      <c r="G102" s="3361"/>
      <c r="H102" s="3361"/>
      <c r="I102" s="3361"/>
      <c r="J102" s="3361"/>
      <c r="K102" s="3361"/>
      <c r="L102" s="3361"/>
      <c r="M102" s="3361"/>
      <c r="N102" s="3361"/>
      <c r="O102" s="3361"/>
      <c r="P102" s="3361"/>
      <c r="Q102" s="3416"/>
    </row>
    <row r="103" spans="2:17" ht="20.25" customHeight="1" x14ac:dyDescent="0.25">
      <c r="B103" s="3415"/>
      <c r="C103" s="3361"/>
      <c r="D103" s="3361"/>
      <c r="E103" s="3361"/>
      <c r="F103" s="3361"/>
      <c r="G103" s="3361"/>
      <c r="H103" s="3361"/>
      <c r="I103" s="3361"/>
      <c r="J103" s="3361"/>
      <c r="K103" s="3361"/>
      <c r="L103" s="3361"/>
      <c r="M103" s="3361"/>
      <c r="N103" s="3361"/>
      <c r="O103" s="3361"/>
      <c r="P103" s="3361"/>
      <c r="Q103" s="3416"/>
    </row>
    <row r="104" spans="2:17" ht="20.25" customHeight="1" x14ac:dyDescent="0.25">
      <c r="B104" s="3415"/>
      <c r="C104" s="3361"/>
      <c r="D104" s="3361"/>
      <c r="E104" s="3361"/>
      <c r="F104" s="3361"/>
      <c r="G104" s="3361"/>
      <c r="H104" s="3361"/>
      <c r="I104" s="3361"/>
      <c r="J104" s="3361"/>
      <c r="K104" s="3361"/>
      <c r="L104" s="3361"/>
      <c r="M104" s="3361"/>
      <c r="N104" s="3361"/>
      <c r="O104" s="3361"/>
      <c r="P104" s="3361"/>
      <c r="Q104" s="3416"/>
    </row>
    <row r="105" spans="2:17" ht="20.25" customHeight="1" x14ac:dyDescent="0.25">
      <c r="B105" s="3415"/>
      <c r="C105" s="3361"/>
      <c r="D105" s="3361"/>
      <c r="E105" s="3361"/>
      <c r="F105" s="3361"/>
      <c r="G105" s="3361"/>
      <c r="H105" s="3361"/>
      <c r="I105" s="3361"/>
      <c r="J105" s="3361"/>
      <c r="K105" s="3361"/>
      <c r="L105" s="3361"/>
      <c r="M105" s="3361"/>
      <c r="N105" s="3361"/>
      <c r="O105" s="3361"/>
      <c r="P105" s="3361"/>
      <c r="Q105" s="3416"/>
    </row>
    <row r="106" spans="2:17" ht="20.25" customHeight="1" x14ac:dyDescent="0.25">
      <c r="B106" s="3415"/>
      <c r="C106" s="3361"/>
      <c r="D106" s="3361"/>
      <c r="E106" s="3361"/>
      <c r="F106" s="3361"/>
      <c r="G106" s="3361"/>
      <c r="H106" s="3361"/>
      <c r="I106" s="3361"/>
      <c r="J106" s="3361"/>
      <c r="K106" s="3361"/>
      <c r="L106" s="3361"/>
      <c r="M106" s="3361"/>
      <c r="N106" s="3361"/>
      <c r="O106" s="3361"/>
      <c r="P106" s="3361"/>
      <c r="Q106" s="3416"/>
    </row>
    <row r="107" spans="2:17" ht="20.25" customHeight="1" x14ac:dyDescent="0.25">
      <c r="B107" s="3415"/>
      <c r="C107" s="3361"/>
      <c r="D107" s="3361"/>
      <c r="E107" s="3361"/>
      <c r="F107" s="3361"/>
      <c r="G107" s="3361"/>
      <c r="H107" s="3361"/>
      <c r="I107" s="3361"/>
      <c r="J107" s="3361"/>
      <c r="K107" s="3361"/>
      <c r="L107" s="3361"/>
      <c r="M107" s="3361"/>
      <c r="N107" s="3361"/>
      <c r="O107" s="3361"/>
      <c r="P107" s="3361"/>
      <c r="Q107" s="3416"/>
    </row>
    <row r="108" spans="2:17" ht="20.25" customHeight="1" x14ac:dyDescent="0.25">
      <c r="B108" s="3415"/>
      <c r="C108" s="3361"/>
      <c r="D108" s="3361"/>
      <c r="E108" s="3361"/>
      <c r="F108" s="3361"/>
      <c r="G108" s="3361"/>
      <c r="H108" s="3361"/>
      <c r="I108" s="3361"/>
      <c r="J108" s="3361"/>
      <c r="K108" s="3361"/>
      <c r="L108" s="3361"/>
      <c r="M108" s="3361"/>
      <c r="N108" s="3361"/>
      <c r="O108" s="3361"/>
      <c r="P108" s="3361"/>
      <c r="Q108" s="3416"/>
    </row>
    <row r="109" spans="2:17" ht="20.25" customHeight="1" x14ac:dyDescent="0.25">
      <c r="B109" s="3415"/>
      <c r="C109" s="3361"/>
      <c r="D109" s="3361"/>
      <c r="E109" s="3361"/>
      <c r="F109" s="3361"/>
      <c r="G109" s="3361"/>
      <c r="H109" s="3361"/>
      <c r="I109" s="3361"/>
      <c r="J109" s="3361"/>
      <c r="K109" s="3361"/>
      <c r="L109" s="3361"/>
      <c r="M109" s="3361"/>
      <c r="N109" s="3361"/>
      <c r="O109" s="3361"/>
      <c r="P109" s="3361"/>
      <c r="Q109" s="3416"/>
    </row>
    <row r="110" spans="2:17" ht="20.25" customHeight="1" x14ac:dyDescent="0.25">
      <c r="B110" s="3415"/>
      <c r="C110" s="3361"/>
      <c r="D110" s="3361"/>
      <c r="E110" s="3361"/>
      <c r="F110" s="3361"/>
      <c r="G110" s="3361"/>
      <c r="H110" s="3361"/>
      <c r="I110" s="3361"/>
      <c r="J110" s="3361"/>
      <c r="K110" s="3361"/>
      <c r="L110" s="3361"/>
      <c r="M110" s="3361"/>
      <c r="N110" s="3361"/>
      <c r="O110" s="3361"/>
      <c r="P110" s="3361"/>
      <c r="Q110" s="3416"/>
    </row>
    <row r="111" spans="2:17" ht="20.25" customHeight="1" x14ac:dyDescent="0.25">
      <c r="B111" s="3415"/>
      <c r="C111" s="3361"/>
      <c r="D111" s="3361"/>
      <c r="E111" s="3361"/>
      <c r="F111" s="3361"/>
      <c r="G111" s="3361"/>
      <c r="H111" s="3361"/>
      <c r="I111" s="3361"/>
      <c r="J111" s="3361"/>
      <c r="K111" s="3361"/>
      <c r="L111" s="3361"/>
      <c r="M111" s="3361"/>
      <c r="N111" s="3361"/>
      <c r="O111" s="3361"/>
      <c r="P111" s="3361"/>
      <c r="Q111" s="3416"/>
    </row>
    <row r="112" spans="2:17" ht="20.25" customHeight="1" x14ac:dyDescent="0.25">
      <c r="B112" s="3415"/>
      <c r="C112" s="3361"/>
      <c r="D112" s="3361"/>
      <c r="E112" s="3361"/>
      <c r="F112" s="3361"/>
      <c r="G112" s="3361"/>
      <c r="H112" s="3361"/>
      <c r="I112" s="3361"/>
      <c r="J112" s="3361"/>
      <c r="K112" s="3361"/>
      <c r="L112" s="3361"/>
      <c r="M112" s="3361"/>
      <c r="N112" s="3361"/>
      <c r="O112" s="3361"/>
      <c r="P112" s="3361"/>
      <c r="Q112" s="3416"/>
    </row>
    <row r="113" spans="2:17" ht="20.25" customHeight="1" x14ac:dyDescent="0.25">
      <c r="B113" s="3415"/>
      <c r="C113" s="3361"/>
      <c r="D113" s="3361"/>
      <c r="E113" s="3361"/>
      <c r="F113" s="3361"/>
      <c r="G113" s="3361"/>
      <c r="H113" s="3361"/>
      <c r="I113" s="3361"/>
      <c r="J113" s="3361"/>
      <c r="K113" s="3361"/>
      <c r="L113" s="3361"/>
      <c r="M113" s="3361"/>
      <c r="N113" s="3361"/>
      <c r="O113" s="3361"/>
      <c r="P113" s="3361"/>
      <c r="Q113" s="3416"/>
    </row>
    <row r="114" spans="2:17" ht="20.25" customHeight="1" x14ac:dyDescent="0.25">
      <c r="B114" s="3415"/>
      <c r="C114" s="3361"/>
      <c r="D114" s="3361"/>
      <c r="E114" s="3361"/>
      <c r="F114" s="3361"/>
      <c r="G114" s="3361"/>
      <c r="H114" s="3361"/>
      <c r="I114" s="3361"/>
      <c r="J114" s="3361"/>
      <c r="K114" s="3361"/>
      <c r="L114" s="3361"/>
      <c r="M114" s="3361"/>
      <c r="N114" s="3361"/>
      <c r="O114" s="3361"/>
      <c r="P114" s="3361"/>
      <c r="Q114" s="3416"/>
    </row>
    <row r="115" spans="2:17" ht="20.25" customHeight="1" x14ac:dyDescent="0.25">
      <c r="B115" s="3415"/>
      <c r="C115" s="3361"/>
      <c r="D115" s="3361"/>
      <c r="E115" s="3361"/>
      <c r="F115" s="3361"/>
      <c r="G115" s="3361"/>
      <c r="H115" s="3361"/>
      <c r="I115" s="3361"/>
      <c r="J115" s="3361"/>
      <c r="K115" s="3361"/>
      <c r="L115" s="3361"/>
      <c r="M115" s="3361"/>
      <c r="N115" s="3361"/>
      <c r="O115" s="3361"/>
      <c r="P115" s="3361"/>
      <c r="Q115" s="3416"/>
    </row>
    <row r="116" spans="2:17" ht="20.25" customHeight="1" thickBot="1" x14ac:dyDescent="0.3">
      <c r="B116" s="3417"/>
      <c r="C116" s="3418"/>
      <c r="D116" s="3418"/>
      <c r="E116" s="3418"/>
      <c r="F116" s="3418"/>
      <c r="G116" s="3418"/>
      <c r="H116" s="3418"/>
      <c r="I116" s="3418"/>
      <c r="J116" s="3418"/>
      <c r="K116" s="3418"/>
      <c r="L116" s="3418"/>
      <c r="M116" s="3418"/>
      <c r="N116" s="3418"/>
      <c r="O116" s="3418"/>
      <c r="P116" s="3418"/>
      <c r="Q116" s="3419"/>
    </row>
    <row r="117" spans="2:17" ht="20.25" customHeight="1" x14ac:dyDescent="0.25">
      <c r="D117" s="681"/>
      <c r="E117" s="681"/>
      <c r="F117" s="681"/>
      <c r="G117" s="681"/>
      <c r="H117" s="681"/>
      <c r="I117" s="681"/>
      <c r="J117" s="681"/>
      <c r="K117" s="681"/>
      <c r="L117" s="681"/>
      <c r="M117" s="681"/>
      <c r="N117" s="681"/>
      <c r="O117" s="681"/>
      <c r="P117" s="681"/>
    </row>
    <row r="118" spans="2:17" ht="20.25" customHeight="1" x14ac:dyDescent="0.25">
      <c r="B118" s="3420" t="s">
        <v>2607</v>
      </c>
      <c r="C118" s="3420"/>
      <c r="D118" s="3420"/>
      <c r="E118" s="3420"/>
      <c r="F118" s="3420"/>
      <c r="G118" s="3420"/>
      <c r="H118" s="3420"/>
      <c r="I118" s="3420"/>
      <c r="J118" s="3420"/>
      <c r="K118" s="3420"/>
      <c r="L118" s="3420"/>
      <c r="M118" s="3420"/>
      <c r="N118" s="3420"/>
      <c r="O118" s="3420"/>
      <c r="P118" s="3420"/>
      <c r="Q118" s="3420"/>
    </row>
    <row r="119" spans="2:17" ht="20.25" customHeight="1" thickBot="1" x14ac:dyDescent="0.3">
      <c r="D119" s="681"/>
      <c r="E119" s="681"/>
      <c r="F119" s="681"/>
      <c r="G119" s="681"/>
      <c r="H119" s="681"/>
      <c r="I119" s="681"/>
      <c r="J119" s="681"/>
      <c r="K119" s="681"/>
      <c r="L119" s="681"/>
      <c r="M119" s="681"/>
      <c r="N119" s="681"/>
      <c r="O119" s="681"/>
      <c r="P119" s="681"/>
    </row>
    <row r="120" spans="2:17" ht="20.25" customHeight="1" x14ac:dyDescent="0.25">
      <c r="B120" s="3412"/>
      <c r="C120" s="3413"/>
      <c r="D120" s="3413"/>
      <c r="E120" s="3413"/>
      <c r="F120" s="3413"/>
      <c r="G120" s="3413"/>
      <c r="H120" s="3413"/>
      <c r="I120" s="3413"/>
      <c r="J120" s="3413"/>
      <c r="K120" s="3413"/>
      <c r="L120" s="3413"/>
      <c r="M120" s="3413"/>
      <c r="N120" s="3413"/>
      <c r="O120" s="3413"/>
      <c r="P120" s="3413"/>
      <c r="Q120" s="3414"/>
    </row>
    <row r="121" spans="2:17" ht="20.25" customHeight="1" x14ac:dyDescent="0.25">
      <c r="B121" s="3415"/>
      <c r="C121" s="3361"/>
      <c r="D121" s="3361"/>
      <c r="E121" s="3361"/>
      <c r="F121" s="3361"/>
      <c r="G121" s="3361"/>
      <c r="H121" s="3361"/>
      <c r="I121" s="3361"/>
      <c r="J121" s="3361"/>
      <c r="K121" s="3361"/>
      <c r="L121" s="3361"/>
      <c r="M121" s="3361"/>
      <c r="N121" s="3361"/>
      <c r="O121" s="3361"/>
      <c r="P121" s="3361"/>
      <c r="Q121" s="3416"/>
    </row>
    <row r="122" spans="2:17" ht="20.25" customHeight="1" x14ac:dyDescent="0.25">
      <c r="B122" s="3415"/>
      <c r="C122" s="3361"/>
      <c r="D122" s="3361"/>
      <c r="E122" s="3361"/>
      <c r="F122" s="3361"/>
      <c r="G122" s="3361"/>
      <c r="H122" s="3361"/>
      <c r="I122" s="3361"/>
      <c r="J122" s="3361"/>
      <c r="K122" s="3361"/>
      <c r="L122" s="3361"/>
      <c r="M122" s="3361"/>
      <c r="N122" s="3361"/>
      <c r="O122" s="3361"/>
      <c r="P122" s="3361"/>
      <c r="Q122" s="3416"/>
    </row>
    <row r="123" spans="2:17" ht="20.25" customHeight="1" x14ac:dyDescent="0.25">
      <c r="B123" s="3415"/>
      <c r="C123" s="3361"/>
      <c r="D123" s="3361"/>
      <c r="E123" s="3361"/>
      <c r="F123" s="3361"/>
      <c r="G123" s="3361"/>
      <c r="H123" s="3361"/>
      <c r="I123" s="3361"/>
      <c r="J123" s="3361"/>
      <c r="K123" s="3361"/>
      <c r="L123" s="3361"/>
      <c r="M123" s="3361"/>
      <c r="N123" s="3361"/>
      <c r="O123" s="3361"/>
      <c r="P123" s="3361"/>
      <c r="Q123" s="3416"/>
    </row>
    <row r="124" spans="2:17" ht="20.25" customHeight="1" x14ac:dyDescent="0.25">
      <c r="B124" s="3415"/>
      <c r="C124" s="3361"/>
      <c r="D124" s="3361"/>
      <c r="E124" s="3361"/>
      <c r="F124" s="3361"/>
      <c r="G124" s="3361"/>
      <c r="H124" s="3361"/>
      <c r="I124" s="3361"/>
      <c r="J124" s="3361"/>
      <c r="K124" s="3361"/>
      <c r="L124" s="3361"/>
      <c r="M124" s="3361"/>
      <c r="N124" s="3361"/>
      <c r="O124" s="3361"/>
      <c r="P124" s="3361"/>
      <c r="Q124" s="3416"/>
    </row>
    <row r="125" spans="2:17" ht="20.25" customHeight="1" x14ac:dyDescent="0.25">
      <c r="B125" s="3415"/>
      <c r="C125" s="3361"/>
      <c r="D125" s="3361"/>
      <c r="E125" s="3361"/>
      <c r="F125" s="3361"/>
      <c r="G125" s="3361"/>
      <c r="H125" s="3361"/>
      <c r="I125" s="3361"/>
      <c r="J125" s="3361"/>
      <c r="K125" s="3361"/>
      <c r="L125" s="3361"/>
      <c r="M125" s="3361"/>
      <c r="N125" s="3361"/>
      <c r="O125" s="3361"/>
      <c r="P125" s="3361"/>
      <c r="Q125" s="3416"/>
    </row>
    <row r="126" spans="2:17" ht="20.25" customHeight="1" x14ac:dyDescent="0.25">
      <c r="B126" s="3415"/>
      <c r="C126" s="3361"/>
      <c r="D126" s="3361"/>
      <c r="E126" s="3361"/>
      <c r="F126" s="3361"/>
      <c r="G126" s="3361"/>
      <c r="H126" s="3361"/>
      <c r="I126" s="3361"/>
      <c r="J126" s="3361"/>
      <c r="K126" s="3361"/>
      <c r="L126" s="3361"/>
      <c r="M126" s="3361"/>
      <c r="N126" s="3361"/>
      <c r="O126" s="3361"/>
      <c r="P126" s="3361"/>
      <c r="Q126" s="3416"/>
    </row>
    <row r="127" spans="2:17" ht="20.25" customHeight="1" x14ac:dyDescent="0.25">
      <c r="B127" s="3415"/>
      <c r="C127" s="3361"/>
      <c r="D127" s="3361"/>
      <c r="E127" s="3361"/>
      <c r="F127" s="3361"/>
      <c r="G127" s="3361"/>
      <c r="H127" s="3361"/>
      <c r="I127" s="3361"/>
      <c r="J127" s="3361"/>
      <c r="K127" s="3361"/>
      <c r="L127" s="3361"/>
      <c r="M127" s="3361"/>
      <c r="N127" s="3361"/>
      <c r="O127" s="3361"/>
      <c r="P127" s="3361"/>
      <c r="Q127" s="3416"/>
    </row>
    <row r="128" spans="2:17" ht="20.25" customHeight="1" x14ac:dyDescent="0.25">
      <c r="B128" s="3415"/>
      <c r="C128" s="3361"/>
      <c r="D128" s="3361"/>
      <c r="E128" s="3361"/>
      <c r="F128" s="3361"/>
      <c r="G128" s="3361"/>
      <c r="H128" s="3361"/>
      <c r="I128" s="3361"/>
      <c r="J128" s="3361"/>
      <c r="K128" s="3361"/>
      <c r="L128" s="3361"/>
      <c r="M128" s="3361"/>
      <c r="N128" s="3361"/>
      <c r="O128" s="3361"/>
      <c r="P128" s="3361"/>
      <c r="Q128" s="3416"/>
    </row>
    <row r="129" spans="2:17" ht="20.25" customHeight="1" x14ac:dyDescent="0.25">
      <c r="B129" s="3415"/>
      <c r="C129" s="3361"/>
      <c r="D129" s="3361"/>
      <c r="E129" s="3361"/>
      <c r="F129" s="3361"/>
      <c r="G129" s="3361"/>
      <c r="H129" s="3361"/>
      <c r="I129" s="3361"/>
      <c r="J129" s="3361"/>
      <c r="K129" s="3361"/>
      <c r="L129" s="3361"/>
      <c r="M129" s="3361"/>
      <c r="N129" s="3361"/>
      <c r="O129" s="3361"/>
      <c r="P129" s="3361"/>
      <c r="Q129" s="3416"/>
    </row>
    <row r="130" spans="2:17" ht="20.25" customHeight="1" x14ac:dyDescent="0.25">
      <c r="B130" s="3415"/>
      <c r="C130" s="3361"/>
      <c r="D130" s="3361"/>
      <c r="E130" s="3361"/>
      <c r="F130" s="3361"/>
      <c r="G130" s="3361"/>
      <c r="H130" s="3361"/>
      <c r="I130" s="3361"/>
      <c r="J130" s="3361"/>
      <c r="K130" s="3361"/>
      <c r="L130" s="3361"/>
      <c r="M130" s="3361"/>
      <c r="N130" s="3361"/>
      <c r="O130" s="3361"/>
      <c r="P130" s="3361"/>
      <c r="Q130" s="3416"/>
    </row>
    <row r="131" spans="2:17" ht="20.25" customHeight="1" x14ac:dyDescent="0.25">
      <c r="B131" s="3415"/>
      <c r="C131" s="3361"/>
      <c r="D131" s="3361"/>
      <c r="E131" s="3361"/>
      <c r="F131" s="3361"/>
      <c r="G131" s="3361"/>
      <c r="H131" s="3361"/>
      <c r="I131" s="3361"/>
      <c r="J131" s="3361"/>
      <c r="K131" s="3361"/>
      <c r="L131" s="3361"/>
      <c r="M131" s="3361"/>
      <c r="N131" s="3361"/>
      <c r="O131" s="3361"/>
      <c r="P131" s="3361"/>
      <c r="Q131" s="3416"/>
    </row>
    <row r="132" spans="2:17" ht="20.25" customHeight="1" x14ac:dyDescent="0.25">
      <c r="B132" s="3415"/>
      <c r="C132" s="3361"/>
      <c r="D132" s="3361"/>
      <c r="E132" s="3361"/>
      <c r="F132" s="3361"/>
      <c r="G132" s="3361"/>
      <c r="H132" s="3361"/>
      <c r="I132" s="3361"/>
      <c r="J132" s="3361"/>
      <c r="K132" s="3361"/>
      <c r="L132" s="3361"/>
      <c r="M132" s="3361"/>
      <c r="N132" s="3361"/>
      <c r="O132" s="3361"/>
      <c r="P132" s="3361"/>
      <c r="Q132" s="3416"/>
    </row>
    <row r="133" spans="2:17" ht="20.25" customHeight="1" x14ac:dyDescent="0.25">
      <c r="B133" s="3415"/>
      <c r="C133" s="3361"/>
      <c r="D133" s="3361"/>
      <c r="E133" s="3361"/>
      <c r="F133" s="3361"/>
      <c r="G133" s="3361"/>
      <c r="H133" s="3361"/>
      <c r="I133" s="3361"/>
      <c r="J133" s="3361"/>
      <c r="K133" s="3361"/>
      <c r="L133" s="3361"/>
      <c r="M133" s="3361"/>
      <c r="N133" s="3361"/>
      <c r="O133" s="3361"/>
      <c r="P133" s="3361"/>
      <c r="Q133" s="3416"/>
    </row>
    <row r="134" spans="2:17" ht="20.25" customHeight="1" x14ac:dyDescent="0.25">
      <c r="B134" s="3415"/>
      <c r="C134" s="3361"/>
      <c r="D134" s="3361"/>
      <c r="E134" s="3361"/>
      <c r="F134" s="3361"/>
      <c r="G134" s="3361"/>
      <c r="H134" s="3361"/>
      <c r="I134" s="3361"/>
      <c r="J134" s="3361"/>
      <c r="K134" s="3361"/>
      <c r="L134" s="3361"/>
      <c r="M134" s="3361"/>
      <c r="N134" s="3361"/>
      <c r="O134" s="3361"/>
      <c r="P134" s="3361"/>
      <c r="Q134" s="3416"/>
    </row>
    <row r="135" spans="2:17" ht="20.25" customHeight="1" x14ac:dyDescent="0.25">
      <c r="B135" s="3415"/>
      <c r="C135" s="3361"/>
      <c r="D135" s="3361"/>
      <c r="E135" s="3361"/>
      <c r="F135" s="3361"/>
      <c r="G135" s="3361"/>
      <c r="H135" s="3361"/>
      <c r="I135" s="3361"/>
      <c r="J135" s="3361"/>
      <c r="K135" s="3361"/>
      <c r="L135" s="3361"/>
      <c r="M135" s="3361"/>
      <c r="N135" s="3361"/>
      <c r="O135" s="3361"/>
      <c r="P135" s="3361"/>
      <c r="Q135" s="3416"/>
    </row>
    <row r="136" spans="2:17" ht="20.25" customHeight="1" x14ac:dyDescent="0.25">
      <c r="B136" s="3415"/>
      <c r="C136" s="3361"/>
      <c r="D136" s="3361"/>
      <c r="E136" s="3361"/>
      <c r="F136" s="3361"/>
      <c r="G136" s="3361"/>
      <c r="H136" s="3361"/>
      <c r="I136" s="3361"/>
      <c r="J136" s="3361"/>
      <c r="K136" s="3361"/>
      <c r="L136" s="3361"/>
      <c r="M136" s="3361"/>
      <c r="N136" s="3361"/>
      <c r="O136" s="3361"/>
      <c r="P136" s="3361"/>
      <c r="Q136" s="3416"/>
    </row>
    <row r="137" spans="2:17" ht="20.25" customHeight="1" x14ac:dyDescent="0.25">
      <c r="B137" s="3415"/>
      <c r="C137" s="3361"/>
      <c r="D137" s="3361"/>
      <c r="E137" s="3361"/>
      <c r="F137" s="3361"/>
      <c r="G137" s="3361"/>
      <c r="H137" s="3361"/>
      <c r="I137" s="3361"/>
      <c r="J137" s="3361"/>
      <c r="K137" s="3361"/>
      <c r="L137" s="3361"/>
      <c r="M137" s="3361"/>
      <c r="N137" s="3361"/>
      <c r="O137" s="3361"/>
      <c r="P137" s="3361"/>
      <c r="Q137" s="3416"/>
    </row>
    <row r="138" spans="2:17" ht="20.25" customHeight="1" x14ac:dyDescent="0.25">
      <c r="B138" s="3415"/>
      <c r="C138" s="3361"/>
      <c r="D138" s="3361"/>
      <c r="E138" s="3361"/>
      <c r="F138" s="3361"/>
      <c r="G138" s="3361"/>
      <c r="H138" s="3361"/>
      <c r="I138" s="3361"/>
      <c r="J138" s="3361"/>
      <c r="K138" s="3361"/>
      <c r="L138" s="3361"/>
      <c r="M138" s="3361"/>
      <c r="N138" s="3361"/>
      <c r="O138" s="3361"/>
      <c r="P138" s="3361"/>
      <c r="Q138" s="3416"/>
    </row>
    <row r="139" spans="2:17" ht="20.25" customHeight="1" thickBot="1" x14ac:dyDescent="0.3">
      <c r="B139" s="3417"/>
      <c r="C139" s="3418"/>
      <c r="D139" s="3418"/>
      <c r="E139" s="3418"/>
      <c r="F139" s="3418"/>
      <c r="G139" s="3418"/>
      <c r="H139" s="3418"/>
      <c r="I139" s="3418"/>
      <c r="J139" s="3418"/>
      <c r="K139" s="3418"/>
      <c r="L139" s="3418"/>
      <c r="M139" s="3418"/>
      <c r="N139" s="3418"/>
      <c r="O139" s="3418"/>
      <c r="P139" s="3418"/>
      <c r="Q139" s="3419"/>
    </row>
    <row r="140" spans="2:17" ht="20.25" customHeight="1" x14ac:dyDescent="0.25">
      <c r="D140" s="681"/>
      <c r="E140" s="681"/>
      <c r="F140" s="681"/>
      <c r="G140" s="681"/>
      <c r="H140" s="681"/>
      <c r="I140" s="681"/>
      <c r="J140" s="681"/>
      <c r="K140" s="681"/>
      <c r="L140" s="681"/>
      <c r="M140" s="681"/>
      <c r="N140" s="681"/>
      <c r="O140" s="681"/>
      <c r="P140" s="681"/>
    </row>
    <row r="141" spans="2:17" ht="20.25" customHeight="1" thickBot="1" x14ac:dyDescent="0.3">
      <c r="B141" s="3411" t="s">
        <v>2608</v>
      </c>
      <c r="C141" s="3411"/>
      <c r="D141" s="3411"/>
      <c r="E141" s="3411"/>
      <c r="F141" s="3411"/>
      <c r="G141" s="3411"/>
      <c r="H141" s="3411"/>
      <c r="I141" s="3411"/>
      <c r="J141" s="3411"/>
      <c r="K141" s="3411"/>
      <c r="L141" s="3411"/>
      <c r="M141" s="3411"/>
      <c r="N141" s="3411"/>
      <c r="O141" s="3411"/>
      <c r="P141" s="3411"/>
      <c r="Q141" s="3411"/>
    </row>
    <row r="142" spans="2:17" ht="20.25" customHeight="1" x14ac:dyDescent="0.25">
      <c r="B142" s="3412"/>
      <c r="C142" s="3413"/>
      <c r="D142" s="3413"/>
      <c r="E142" s="3413"/>
      <c r="F142" s="3413"/>
      <c r="G142" s="3413"/>
      <c r="H142" s="3413"/>
      <c r="I142" s="3413"/>
      <c r="J142" s="3413"/>
      <c r="K142" s="3413"/>
      <c r="L142" s="3413"/>
      <c r="M142" s="3413"/>
      <c r="N142" s="3413"/>
      <c r="O142" s="3413"/>
      <c r="P142" s="3413"/>
      <c r="Q142" s="3414"/>
    </row>
    <row r="143" spans="2:17" ht="20.25" customHeight="1" x14ac:dyDescent="0.25">
      <c r="B143" s="3415"/>
      <c r="C143" s="3361"/>
      <c r="D143" s="3361"/>
      <c r="E143" s="3361"/>
      <c r="F143" s="3361"/>
      <c r="G143" s="3361"/>
      <c r="H143" s="3361"/>
      <c r="I143" s="3361"/>
      <c r="J143" s="3361"/>
      <c r="K143" s="3361"/>
      <c r="L143" s="3361"/>
      <c r="M143" s="3361"/>
      <c r="N143" s="3361"/>
      <c r="O143" s="3361"/>
      <c r="P143" s="3361"/>
      <c r="Q143" s="3416"/>
    </row>
    <row r="144" spans="2:17" ht="20.25" customHeight="1" x14ac:dyDescent="0.25">
      <c r="B144" s="3415"/>
      <c r="C144" s="3361"/>
      <c r="D144" s="3361"/>
      <c r="E144" s="3361"/>
      <c r="F144" s="3361"/>
      <c r="G144" s="3361"/>
      <c r="H144" s="3361"/>
      <c r="I144" s="3361"/>
      <c r="J144" s="3361"/>
      <c r="K144" s="3361"/>
      <c r="L144" s="3361"/>
      <c r="M144" s="3361"/>
      <c r="N144" s="3361"/>
      <c r="O144" s="3361"/>
      <c r="P144" s="3361"/>
      <c r="Q144" s="3416"/>
    </row>
    <row r="145" spans="2:17" ht="20.25" customHeight="1" x14ac:dyDescent="0.25">
      <c r="B145" s="3415"/>
      <c r="C145" s="3361"/>
      <c r="D145" s="3361"/>
      <c r="E145" s="3361"/>
      <c r="F145" s="3361"/>
      <c r="G145" s="3361"/>
      <c r="H145" s="3361"/>
      <c r="I145" s="3361"/>
      <c r="J145" s="3361"/>
      <c r="K145" s="3361"/>
      <c r="L145" s="3361"/>
      <c r="M145" s="3361"/>
      <c r="N145" s="3361"/>
      <c r="O145" s="3361"/>
      <c r="P145" s="3361"/>
      <c r="Q145" s="3416"/>
    </row>
    <row r="146" spans="2:17" ht="20.25" customHeight="1" x14ac:dyDescent="0.25">
      <c r="B146" s="3415"/>
      <c r="C146" s="3361"/>
      <c r="D146" s="3361"/>
      <c r="E146" s="3361"/>
      <c r="F146" s="3361"/>
      <c r="G146" s="3361"/>
      <c r="H146" s="3361"/>
      <c r="I146" s="3361"/>
      <c r="J146" s="3361"/>
      <c r="K146" s="3361"/>
      <c r="L146" s="3361"/>
      <c r="M146" s="3361"/>
      <c r="N146" s="3361"/>
      <c r="O146" s="3361"/>
      <c r="P146" s="3361"/>
      <c r="Q146" s="3416"/>
    </row>
    <row r="147" spans="2:17" ht="20.25" customHeight="1" x14ac:dyDescent="0.25">
      <c r="B147" s="3415"/>
      <c r="C147" s="3361"/>
      <c r="D147" s="3361"/>
      <c r="E147" s="3361"/>
      <c r="F147" s="3361"/>
      <c r="G147" s="3361"/>
      <c r="H147" s="3361"/>
      <c r="I147" s="3361"/>
      <c r="J147" s="3361"/>
      <c r="K147" s="3361"/>
      <c r="L147" s="3361"/>
      <c r="M147" s="3361"/>
      <c r="N147" s="3361"/>
      <c r="O147" s="3361"/>
      <c r="P147" s="3361"/>
      <c r="Q147" s="3416"/>
    </row>
    <row r="148" spans="2:17" ht="20.25" customHeight="1" x14ac:dyDescent="0.25">
      <c r="B148" s="3415"/>
      <c r="C148" s="3361"/>
      <c r="D148" s="3361"/>
      <c r="E148" s="3361"/>
      <c r="F148" s="3361"/>
      <c r="G148" s="3361"/>
      <c r="H148" s="3361"/>
      <c r="I148" s="3361"/>
      <c r="J148" s="3361"/>
      <c r="K148" s="3361"/>
      <c r="L148" s="3361"/>
      <c r="M148" s="3361"/>
      <c r="N148" s="3361"/>
      <c r="O148" s="3361"/>
      <c r="P148" s="3361"/>
      <c r="Q148" s="3416"/>
    </row>
    <row r="149" spans="2:17" ht="20.25" customHeight="1" x14ac:dyDescent="0.25">
      <c r="B149" s="3415"/>
      <c r="C149" s="3361"/>
      <c r="D149" s="3361"/>
      <c r="E149" s="3361"/>
      <c r="F149" s="3361"/>
      <c r="G149" s="3361"/>
      <c r="H149" s="3361"/>
      <c r="I149" s="3361"/>
      <c r="J149" s="3361"/>
      <c r="K149" s="3361"/>
      <c r="L149" s="3361"/>
      <c r="M149" s="3361"/>
      <c r="N149" s="3361"/>
      <c r="O149" s="3361"/>
      <c r="P149" s="3361"/>
      <c r="Q149" s="3416"/>
    </row>
    <row r="150" spans="2:17" ht="20.25" customHeight="1" x14ac:dyDescent="0.25">
      <c r="B150" s="3415"/>
      <c r="C150" s="3361"/>
      <c r="D150" s="3361"/>
      <c r="E150" s="3361"/>
      <c r="F150" s="3361"/>
      <c r="G150" s="3361"/>
      <c r="H150" s="3361"/>
      <c r="I150" s="3361"/>
      <c r="J150" s="3361"/>
      <c r="K150" s="3361"/>
      <c r="L150" s="3361"/>
      <c r="M150" s="3361"/>
      <c r="N150" s="3361"/>
      <c r="O150" s="3361"/>
      <c r="P150" s="3361"/>
      <c r="Q150" s="3416"/>
    </row>
    <row r="151" spans="2:17" ht="20.25" customHeight="1" x14ac:dyDescent="0.25">
      <c r="B151" s="3415"/>
      <c r="C151" s="3361"/>
      <c r="D151" s="3361"/>
      <c r="E151" s="3361"/>
      <c r="F151" s="3361"/>
      <c r="G151" s="3361"/>
      <c r="H151" s="3361"/>
      <c r="I151" s="3361"/>
      <c r="J151" s="3361"/>
      <c r="K151" s="3361"/>
      <c r="L151" s="3361"/>
      <c r="M151" s="3361"/>
      <c r="N151" s="3361"/>
      <c r="O151" s="3361"/>
      <c r="P151" s="3361"/>
      <c r="Q151" s="3416"/>
    </row>
    <row r="152" spans="2:17" ht="20.25" customHeight="1" x14ac:dyDescent="0.25">
      <c r="B152" s="3415"/>
      <c r="C152" s="3361"/>
      <c r="D152" s="3361"/>
      <c r="E152" s="3361"/>
      <c r="F152" s="3361"/>
      <c r="G152" s="3361"/>
      <c r="H152" s="3361"/>
      <c r="I152" s="3361"/>
      <c r="J152" s="3361"/>
      <c r="K152" s="3361"/>
      <c r="L152" s="3361"/>
      <c r="M152" s="3361"/>
      <c r="N152" s="3361"/>
      <c r="O152" s="3361"/>
      <c r="P152" s="3361"/>
      <c r="Q152" s="3416"/>
    </row>
    <row r="153" spans="2:17" ht="20.25" customHeight="1" x14ac:dyDescent="0.25">
      <c r="B153" s="3415"/>
      <c r="C153" s="3361"/>
      <c r="D153" s="3361"/>
      <c r="E153" s="3361"/>
      <c r="F153" s="3361"/>
      <c r="G153" s="3361"/>
      <c r="H153" s="3361"/>
      <c r="I153" s="3361"/>
      <c r="J153" s="3361"/>
      <c r="K153" s="3361"/>
      <c r="L153" s="3361"/>
      <c r="M153" s="3361"/>
      <c r="N153" s="3361"/>
      <c r="O153" s="3361"/>
      <c r="P153" s="3361"/>
      <c r="Q153" s="3416"/>
    </row>
    <row r="154" spans="2:17" ht="20.25" customHeight="1" x14ac:dyDescent="0.25">
      <c r="B154" s="3415"/>
      <c r="C154" s="3361"/>
      <c r="D154" s="3361"/>
      <c r="E154" s="3361"/>
      <c r="F154" s="3361"/>
      <c r="G154" s="3361"/>
      <c r="H154" s="3361"/>
      <c r="I154" s="3361"/>
      <c r="J154" s="3361"/>
      <c r="K154" s="3361"/>
      <c r="L154" s="3361"/>
      <c r="M154" s="3361"/>
      <c r="N154" s="3361"/>
      <c r="O154" s="3361"/>
      <c r="P154" s="3361"/>
      <c r="Q154" s="3416"/>
    </row>
    <row r="155" spans="2:17" ht="20.25" customHeight="1" x14ac:dyDescent="0.25">
      <c r="B155" s="3415"/>
      <c r="C155" s="3361"/>
      <c r="D155" s="3361"/>
      <c r="E155" s="3361"/>
      <c r="F155" s="3361"/>
      <c r="G155" s="3361"/>
      <c r="H155" s="3361"/>
      <c r="I155" s="3361"/>
      <c r="J155" s="3361"/>
      <c r="K155" s="3361"/>
      <c r="L155" s="3361"/>
      <c r="M155" s="3361"/>
      <c r="N155" s="3361"/>
      <c r="O155" s="3361"/>
      <c r="P155" s="3361"/>
      <c r="Q155" s="3416"/>
    </row>
    <row r="156" spans="2:17" ht="20.25" customHeight="1" x14ac:dyDescent="0.25">
      <c r="B156" s="3415"/>
      <c r="C156" s="3361"/>
      <c r="D156" s="3361"/>
      <c r="E156" s="3361"/>
      <c r="F156" s="3361"/>
      <c r="G156" s="3361"/>
      <c r="H156" s="3361"/>
      <c r="I156" s="3361"/>
      <c r="J156" s="3361"/>
      <c r="K156" s="3361"/>
      <c r="L156" s="3361"/>
      <c r="M156" s="3361"/>
      <c r="N156" s="3361"/>
      <c r="O156" s="3361"/>
      <c r="P156" s="3361"/>
      <c r="Q156" s="3416"/>
    </row>
    <row r="157" spans="2:17" ht="20.25" customHeight="1" x14ac:dyDescent="0.25">
      <c r="B157" s="3415"/>
      <c r="C157" s="3361"/>
      <c r="D157" s="3361"/>
      <c r="E157" s="3361"/>
      <c r="F157" s="3361"/>
      <c r="G157" s="3361"/>
      <c r="H157" s="3361"/>
      <c r="I157" s="3361"/>
      <c r="J157" s="3361"/>
      <c r="K157" s="3361"/>
      <c r="L157" s="3361"/>
      <c r="M157" s="3361"/>
      <c r="N157" s="3361"/>
      <c r="O157" s="3361"/>
      <c r="P157" s="3361"/>
      <c r="Q157" s="3416"/>
    </row>
    <row r="158" spans="2:17" ht="20.25" customHeight="1" x14ac:dyDescent="0.25">
      <c r="B158" s="3415"/>
      <c r="C158" s="3361"/>
      <c r="D158" s="3361"/>
      <c r="E158" s="3361"/>
      <c r="F158" s="3361"/>
      <c r="G158" s="3361"/>
      <c r="H158" s="3361"/>
      <c r="I158" s="3361"/>
      <c r="J158" s="3361"/>
      <c r="K158" s="3361"/>
      <c r="L158" s="3361"/>
      <c r="M158" s="3361"/>
      <c r="N158" s="3361"/>
      <c r="O158" s="3361"/>
      <c r="P158" s="3361"/>
      <c r="Q158" s="3416"/>
    </row>
    <row r="159" spans="2:17" ht="20.25" customHeight="1" x14ac:dyDescent="0.25">
      <c r="B159" s="3415"/>
      <c r="C159" s="3361"/>
      <c r="D159" s="3361"/>
      <c r="E159" s="3361"/>
      <c r="F159" s="3361"/>
      <c r="G159" s="3361"/>
      <c r="H159" s="3361"/>
      <c r="I159" s="3361"/>
      <c r="J159" s="3361"/>
      <c r="K159" s="3361"/>
      <c r="L159" s="3361"/>
      <c r="M159" s="3361"/>
      <c r="N159" s="3361"/>
      <c r="O159" s="3361"/>
      <c r="P159" s="3361"/>
      <c r="Q159" s="3416"/>
    </row>
    <row r="160" spans="2:17" ht="20.25" customHeight="1" x14ac:dyDescent="0.25">
      <c r="B160" s="3415"/>
      <c r="C160" s="3361"/>
      <c r="D160" s="3361"/>
      <c r="E160" s="3361"/>
      <c r="F160" s="3361"/>
      <c r="G160" s="3361"/>
      <c r="H160" s="3361"/>
      <c r="I160" s="3361"/>
      <c r="J160" s="3361"/>
      <c r="K160" s="3361"/>
      <c r="L160" s="3361"/>
      <c r="M160" s="3361"/>
      <c r="N160" s="3361"/>
      <c r="O160" s="3361"/>
      <c r="P160" s="3361"/>
      <c r="Q160" s="3416"/>
    </row>
    <row r="161" spans="2:17" ht="20.25" customHeight="1" x14ac:dyDescent="0.25">
      <c r="B161" s="3415"/>
      <c r="C161" s="3361"/>
      <c r="D161" s="3361"/>
      <c r="E161" s="3361"/>
      <c r="F161" s="3361"/>
      <c r="G161" s="3361"/>
      <c r="H161" s="3361"/>
      <c r="I161" s="3361"/>
      <c r="J161" s="3361"/>
      <c r="K161" s="3361"/>
      <c r="L161" s="3361"/>
      <c r="M161" s="3361"/>
      <c r="N161" s="3361"/>
      <c r="O161" s="3361"/>
      <c r="P161" s="3361"/>
      <c r="Q161" s="3416"/>
    </row>
    <row r="162" spans="2:17" ht="20.25" customHeight="1" x14ac:dyDescent="0.25">
      <c r="B162" s="3415"/>
      <c r="C162" s="3361"/>
      <c r="D162" s="3361"/>
      <c r="E162" s="3361"/>
      <c r="F162" s="3361"/>
      <c r="G162" s="3361"/>
      <c r="H162" s="3361"/>
      <c r="I162" s="3361"/>
      <c r="J162" s="3361"/>
      <c r="K162" s="3361"/>
      <c r="L162" s="3361"/>
      <c r="M162" s="3361"/>
      <c r="N162" s="3361"/>
      <c r="O162" s="3361"/>
      <c r="P162" s="3361"/>
      <c r="Q162" s="3416"/>
    </row>
    <row r="163" spans="2:17" ht="20.25" customHeight="1" x14ac:dyDescent="0.25">
      <c r="B163" s="3415"/>
      <c r="C163" s="3361"/>
      <c r="D163" s="3361"/>
      <c r="E163" s="3361"/>
      <c r="F163" s="3361"/>
      <c r="G163" s="3361"/>
      <c r="H163" s="3361"/>
      <c r="I163" s="3361"/>
      <c r="J163" s="3361"/>
      <c r="K163" s="3361"/>
      <c r="L163" s="3361"/>
      <c r="M163" s="3361"/>
      <c r="N163" s="3361"/>
      <c r="O163" s="3361"/>
      <c r="P163" s="3361"/>
      <c r="Q163" s="3416"/>
    </row>
    <row r="164" spans="2:17" ht="20.25" customHeight="1" thickBot="1" x14ac:dyDescent="0.3">
      <c r="B164" s="3417"/>
      <c r="C164" s="3418"/>
      <c r="D164" s="3418"/>
      <c r="E164" s="3418"/>
      <c r="F164" s="3418"/>
      <c r="G164" s="3418"/>
      <c r="H164" s="3418"/>
      <c r="I164" s="3418"/>
      <c r="J164" s="3418"/>
      <c r="K164" s="3418"/>
      <c r="L164" s="3418"/>
      <c r="M164" s="3418"/>
      <c r="N164" s="3418"/>
      <c r="O164" s="3418"/>
      <c r="P164" s="3418"/>
      <c r="Q164" s="3419"/>
    </row>
    <row r="165" spans="2:17" ht="20.25" customHeight="1" x14ac:dyDescent="0.25">
      <c r="D165" s="681"/>
      <c r="E165" s="681"/>
      <c r="F165" s="681"/>
      <c r="G165" s="681"/>
      <c r="H165" s="681"/>
      <c r="I165" s="681"/>
      <c r="J165" s="681"/>
      <c r="K165" s="681"/>
      <c r="L165" s="681"/>
      <c r="M165" s="681"/>
      <c r="N165" s="681"/>
      <c r="O165" s="681"/>
      <c r="P165" s="681"/>
    </row>
    <row r="166" spans="2:17" ht="20.25" customHeight="1" x14ac:dyDescent="0.25">
      <c r="B166" s="3420" t="s">
        <v>3027</v>
      </c>
      <c r="C166" s="3420"/>
      <c r="D166" s="3420"/>
      <c r="E166" s="3420"/>
      <c r="F166" s="3420"/>
      <c r="G166" s="3420"/>
      <c r="H166" s="3420"/>
      <c r="I166" s="3420"/>
      <c r="J166" s="3420"/>
      <c r="K166" s="3420"/>
      <c r="L166" s="3420"/>
      <c r="M166" s="3420"/>
      <c r="N166" s="3420"/>
      <c r="O166" s="3420"/>
      <c r="P166" s="3420"/>
      <c r="Q166" s="3420"/>
    </row>
    <row r="167" spans="2:17" ht="20.25" customHeight="1" thickBot="1" x14ac:dyDescent="0.3">
      <c r="B167" s="803"/>
      <c r="C167" s="803"/>
      <c r="D167" s="803"/>
      <c r="E167" s="803"/>
      <c r="F167" s="803"/>
      <c r="G167" s="803"/>
      <c r="H167" s="803"/>
      <c r="I167" s="803"/>
      <c r="J167" s="803"/>
      <c r="K167" s="803"/>
      <c r="L167" s="803"/>
      <c r="M167" s="681"/>
      <c r="N167" s="681"/>
      <c r="O167" s="681"/>
      <c r="P167" s="681"/>
    </row>
    <row r="168" spans="2:17" ht="20.25" customHeight="1" x14ac:dyDescent="0.25">
      <c r="B168" s="3412"/>
      <c r="C168" s="3413"/>
      <c r="D168" s="3413"/>
      <c r="E168" s="3413"/>
      <c r="F168" s="3413"/>
      <c r="G168" s="3413"/>
      <c r="H168" s="3413"/>
      <c r="I168" s="3413"/>
      <c r="J168" s="3413"/>
      <c r="K168" s="3413"/>
      <c r="L168" s="3413"/>
      <c r="M168" s="3413"/>
      <c r="N168" s="3413"/>
      <c r="O168" s="3413"/>
      <c r="P168" s="3413"/>
      <c r="Q168" s="3414"/>
    </row>
    <row r="169" spans="2:17" ht="20.25" customHeight="1" x14ac:dyDescent="0.25">
      <c r="B169" s="3415"/>
      <c r="C169" s="3361"/>
      <c r="D169" s="3361"/>
      <c r="E169" s="3361"/>
      <c r="F169" s="3361"/>
      <c r="G169" s="3361"/>
      <c r="H169" s="3361"/>
      <c r="I169" s="3361"/>
      <c r="J169" s="3361"/>
      <c r="K169" s="3361"/>
      <c r="L169" s="3361"/>
      <c r="M169" s="3361"/>
      <c r="N169" s="3361"/>
      <c r="O169" s="3361"/>
      <c r="P169" s="3361"/>
      <c r="Q169" s="3416"/>
    </row>
    <row r="170" spans="2:17" ht="20.25" customHeight="1" x14ac:dyDescent="0.25">
      <c r="B170" s="3415"/>
      <c r="C170" s="3361"/>
      <c r="D170" s="3361"/>
      <c r="E170" s="3361"/>
      <c r="F170" s="3361"/>
      <c r="G170" s="3361"/>
      <c r="H170" s="3361"/>
      <c r="I170" s="3361"/>
      <c r="J170" s="3361"/>
      <c r="K170" s="3361"/>
      <c r="L170" s="3361"/>
      <c r="M170" s="3361"/>
      <c r="N170" s="3361"/>
      <c r="O170" s="3361"/>
      <c r="P170" s="3361"/>
      <c r="Q170" s="3416"/>
    </row>
    <row r="171" spans="2:17" ht="20.25" customHeight="1" x14ac:dyDescent="0.25">
      <c r="B171" s="3415"/>
      <c r="C171" s="3361"/>
      <c r="D171" s="3361"/>
      <c r="E171" s="3361"/>
      <c r="F171" s="3361"/>
      <c r="G171" s="3361"/>
      <c r="H171" s="3361"/>
      <c r="I171" s="3361"/>
      <c r="J171" s="3361"/>
      <c r="K171" s="3361"/>
      <c r="L171" s="3361"/>
      <c r="M171" s="3361"/>
      <c r="N171" s="3361"/>
      <c r="O171" s="3361"/>
      <c r="P171" s="3361"/>
      <c r="Q171" s="3416"/>
    </row>
    <row r="172" spans="2:17" ht="20.25" customHeight="1" x14ac:dyDescent="0.25">
      <c r="B172" s="3415"/>
      <c r="C172" s="3361"/>
      <c r="D172" s="3361"/>
      <c r="E172" s="3361"/>
      <c r="F172" s="3361"/>
      <c r="G172" s="3361"/>
      <c r="H172" s="3361"/>
      <c r="I172" s="3361"/>
      <c r="J172" s="3361"/>
      <c r="K172" s="3361"/>
      <c r="L172" s="3361"/>
      <c r="M172" s="3361"/>
      <c r="N172" s="3361"/>
      <c r="O172" s="3361"/>
      <c r="P172" s="3361"/>
      <c r="Q172" s="3416"/>
    </row>
    <row r="173" spans="2:17" ht="20.25" customHeight="1" x14ac:dyDescent="0.25">
      <c r="B173" s="3415"/>
      <c r="C173" s="3361"/>
      <c r="D173" s="3361"/>
      <c r="E173" s="3361"/>
      <c r="F173" s="3361"/>
      <c r="G173" s="3361"/>
      <c r="H173" s="3361"/>
      <c r="I173" s="3361"/>
      <c r="J173" s="3361"/>
      <c r="K173" s="3361"/>
      <c r="L173" s="3361"/>
      <c r="M173" s="3361"/>
      <c r="N173" s="3361"/>
      <c r="O173" s="3361"/>
      <c r="P173" s="3361"/>
      <c r="Q173" s="3416"/>
    </row>
    <row r="174" spans="2:17" ht="20.25" customHeight="1" x14ac:dyDescent="0.25">
      <c r="B174" s="3415"/>
      <c r="C174" s="3361"/>
      <c r="D174" s="3361"/>
      <c r="E174" s="3361"/>
      <c r="F174" s="3361"/>
      <c r="G174" s="3361"/>
      <c r="H174" s="3361"/>
      <c r="I174" s="3361"/>
      <c r="J174" s="3361"/>
      <c r="K174" s="3361"/>
      <c r="L174" s="3361"/>
      <c r="M174" s="3361"/>
      <c r="N174" s="3361"/>
      <c r="O174" s="3361"/>
      <c r="P174" s="3361"/>
      <c r="Q174" s="3416"/>
    </row>
    <row r="175" spans="2:17" ht="20.25" customHeight="1" x14ac:dyDescent="0.25">
      <c r="B175" s="3415"/>
      <c r="C175" s="3361"/>
      <c r="D175" s="3361"/>
      <c r="E175" s="3361"/>
      <c r="F175" s="3361"/>
      <c r="G175" s="3361"/>
      <c r="H175" s="3361"/>
      <c r="I175" s="3361"/>
      <c r="J175" s="3361"/>
      <c r="K175" s="3361"/>
      <c r="L175" s="3361"/>
      <c r="M175" s="3361"/>
      <c r="N175" s="3361"/>
      <c r="O175" s="3361"/>
      <c r="P175" s="3361"/>
      <c r="Q175" s="3416"/>
    </row>
    <row r="176" spans="2:17" ht="20.25" customHeight="1" x14ac:dyDescent="0.25">
      <c r="B176" s="3415"/>
      <c r="C176" s="3361"/>
      <c r="D176" s="3361"/>
      <c r="E176" s="3361"/>
      <c r="F176" s="3361"/>
      <c r="G176" s="3361"/>
      <c r="H176" s="3361"/>
      <c r="I176" s="3361"/>
      <c r="J176" s="3361"/>
      <c r="K176" s="3361"/>
      <c r="L176" s="3361"/>
      <c r="M176" s="3361"/>
      <c r="N176" s="3361"/>
      <c r="O176" s="3361"/>
      <c r="P176" s="3361"/>
      <c r="Q176" s="3416"/>
    </row>
    <row r="177" spans="2:17" ht="20.25" customHeight="1" x14ac:dyDescent="0.25">
      <c r="B177" s="3415"/>
      <c r="C177" s="3361"/>
      <c r="D177" s="3361"/>
      <c r="E177" s="3361"/>
      <c r="F177" s="3361"/>
      <c r="G177" s="3361"/>
      <c r="H177" s="3361"/>
      <c r="I177" s="3361"/>
      <c r="J177" s="3361"/>
      <c r="K177" s="3361"/>
      <c r="L177" s="3361"/>
      <c r="M177" s="3361"/>
      <c r="N177" s="3361"/>
      <c r="O177" s="3361"/>
      <c r="P177" s="3361"/>
      <c r="Q177" s="3416"/>
    </row>
    <row r="178" spans="2:17" ht="20.25" customHeight="1" x14ac:dyDescent="0.25">
      <c r="B178" s="3415"/>
      <c r="C178" s="3361"/>
      <c r="D178" s="3361"/>
      <c r="E178" s="3361"/>
      <c r="F178" s="3361"/>
      <c r="G178" s="3361"/>
      <c r="H178" s="3361"/>
      <c r="I178" s="3361"/>
      <c r="J178" s="3361"/>
      <c r="K178" s="3361"/>
      <c r="L178" s="3361"/>
      <c r="M178" s="3361"/>
      <c r="N178" s="3361"/>
      <c r="O178" s="3361"/>
      <c r="P178" s="3361"/>
      <c r="Q178" s="3416"/>
    </row>
    <row r="179" spans="2:17" ht="20.25" customHeight="1" x14ac:dyDescent="0.25">
      <c r="B179" s="3415"/>
      <c r="C179" s="3361"/>
      <c r="D179" s="3361"/>
      <c r="E179" s="3361"/>
      <c r="F179" s="3361"/>
      <c r="G179" s="3361"/>
      <c r="H179" s="3361"/>
      <c r="I179" s="3361"/>
      <c r="J179" s="3361"/>
      <c r="K179" s="3361"/>
      <c r="L179" s="3361"/>
      <c r="M179" s="3361"/>
      <c r="N179" s="3361"/>
      <c r="O179" s="3361"/>
      <c r="P179" s="3361"/>
      <c r="Q179" s="3416"/>
    </row>
    <row r="180" spans="2:17" ht="20.25" customHeight="1" x14ac:dyDescent="0.25">
      <c r="B180" s="3415"/>
      <c r="C180" s="3361"/>
      <c r="D180" s="3361"/>
      <c r="E180" s="3361"/>
      <c r="F180" s="3361"/>
      <c r="G180" s="3361"/>
      <c r="H180" s="3361"/>
      <c r="I180" s="3361"/>
      <c r="J180" s="3361"/>
      <c r="K180" s="3361"/>
      <c r="L180" s="3361"/>
      <c r="M180" s="3361"/>
      <c r="N180" s="3361"/>
      <c r="O180" s="3361"/>
      <c r="P180" s="3361"/>
      <c r="Q180" s="3416"/>
    </row>
    <row r="181" spans="2:17" ht="20.25" customHeight="1" x14ac:dyDescent="0.25">
      <c r="B181" s="3415"/>
      <c r="C181" s="3361"/>
      <c r="D181" s="3361"/>
      <c r="E181" s="3361"/>
      <c r="F181" s="3361"/>
      <c r="G181" s="3361"/>
      <c r="H181" s="3361"/>
      <c r="I181" s="3361"/>
      <c r="J181" s="3361"/>
      <c r="K181" s="3361"/>
      <c r="L181" s="3361"/>
      <c r="M181" s="3361"/>
      <c r="N181" s="3361"/>
      <c r="O181" s="3361"/>
      <c r="P181" s="3361"/>
      <c r="Q181" s="3416"/>
    </row>
    <row r="182" spans="2:17" ht="20.25" customHeight="1" x14ac:dyDescent="0.25">
      <c r="B182" s="3415"/>
      <c r="C182" s="3361"/>
      <c r="D182" s="3361"/>
      <c r="E182" s="3361"/>
      <c r="F182" s="3361"/>
      <c r="G182" s="3361"/>
      <c r="H182" s="3361"/>
      <c r="I182" s="3361"/>
      <c r="J182" s="3361"/>
      <c r="K182" s="3361"/>
      <c r="L182" s="3361"/>
      <c r="M182" s="3361"/>
      <c r="N182" s="3361"/>
      <c r="O182" s="3361"/>
      <c r="P182" s="3361"/>
      <c r="Q182" s="3416"/>
    </row>
    <row r="183" spans="2:17" ht="20.25" customHeight="1" x14ac:dyDescent="0.25">
      <c r="B183" s="3415"/>
      <c r="C183" s="3361"/>
      <c r="D183" s="3361"/>
      <c r="E183" s="3361"/>
      <c r="F183" s="3361"/>
      <c r="G183" s="3361"/>
      <c r="H183" s="3361"/>
      <c r="I183" s="3361"/>
      <c r="J183" s="3361"/>
      <c r="K183" s="3361"/>
      <c r="L183" s="3361"/>
      <c r="M183" s="3361"/>
      <c r="N183" s="3361"/>
      <c r="O183" s="3361"/>
      <c r="P183" s="3361"/>
      <c r="Q183" s="3416"/>
    </row>
    <row r="184" spans="2:17" ht="20.25" customHeight="1" x14ac:dyDescent="0.25">
      <c r="B184" s="3415"/>
      <c r="C184" s="3361"/>
      <c r="D184" s="3361"/>
      <c r="E184" s="3361"/>
      <c r="F184" s="3361"/>
      <c r="G184" s="3361"/>
      <c r="H184" s="3361"/>
      <c r="I184" s="3361"/>
      <c r="J184" s="3361"/>
      <c r="K184" s="3361"/>
      <c r="L184" s="3361"/>
      <c r="M184" s="3361"/>
      <c r="N184" s="3361"/>
      <c r="O184" s="3361"/>
      <c r="P184" s="3361"/>
      <c r="Q184" s="3416"/>
    </row>
    <row r="185" spans="2:17" ht="20.25" customHeight="1" x14ac:dyDescent="0.25">
      <c r="B185" s="3415"/>
      <c r="C185" s="3361"/>
      <c r="D185" s="3361"/>
      <c r="E185" s="3361"/>
      <c r="F185" s="3361"/>
      <c r="G185" s="3361"/>
      <c r="H185" s="3361"/>
      <c r="I185" s="3361"/>
      <c r="J185" s="3361"/>
      <c r="K185" s="3361"/>
      <c r="L185" s="3361"/>
      <c r="M185" s="3361"/>
      <c r="N185" s="3361"/>
      <c r="O185" s="3361"/>
      <c r="P185" s="3361"/>
      <c r="Q185" s="3416"/>
    </row>
    <row r="186" spans="2:17" ht="20.25" customHeight="1" x14ac:dyDescent="0.25">
      <c r="B186" s="3415"/>
      <c r="C186" s="3361"/>
      <c r="D186" s="3361"/>
      <c r="E186" s="3361"/>
      <c r="F186" s="3361"/>
      <c r="G186" s="3361"/>
      <c r="H186" s="3361"/>
      <c r="I186" s="3361"/>
      <c r="J186" s="3361"/>
      <c r="K186" s="3361"/>
      <c r="L186" s="3361"/>
      <c r="M186" s="3361"/>
      <c r="N186" s="3361"/>
      <c r="O186" s="3361"/>
      <c r="P186" s="3361"/>
      <c r="Q186" s="3416"/>
    </row>
    <row r="187" spans="2:17" ht="20.25" customHeight="1" x14ac:dyDescent="0.25">
      <c r="B187" s="3415"/>
      <c r="C187" s="3361"/>
      <c r="D187" s="3361"/>
      <c r="E187" s="3361"/>
      <c r="F187" s="3361"/>
      <c r="G187" s="3361"/>
      <c r="H187" s="3361"/>
      <c r="I187" s="3361"/>
      <c r="J187" s="3361"/>
      <c r="K187" s="3361"/>
      <c r="L187" s="3361"/>
      <c r="M187" s="3361"/>
      <c r="N187" s="3361"/>
      <c r="O187" s="3361"/>
      <c r="P187" s="3361"/>
      <c r="Q187" s="3416"/>
    </row>
    <row r="188" spans="2:17" ht="20.25" customHeight="1" x14ac:dyDescent="0.25">
      <c r="B188" s="3415"/>
      <c r="C188" s="3361"/>
      <c r="D188" s="3361"/>
      <c r="E188" s="3361"/>
      <c r="F188" s="3361"/>
      <c r="G188" s="3361"/>
      <c r="H188" s="3361"/>
      <c r="I188" s="3361"/>
      <c r="J188" s="3361"/>
      <c r="K188" s="3361"/>
      <c r="L188" s="3361"/>
      <c r="M188" s="3361"/>
      <c r="N188" s="3361"/>
      <c r="O188" s="3361"/>
      <c r="P188" s="3361"/>
      <c r="Q188" s="3416"/>
    </row>
    <row r="189" spans="2:17" ht="20.25" customHeight="1" x14ac:dyDescent="0.25">
      <c r="B189" s="3415"/>
      <c r="C189" s="3361"/>
      <c r="D189" s="3361"/>
      <c r="E189" s="3361"/>
      <c r="F189" s="3361"/>
      <c r="G189" s="3361"/>
      <c r="H189" s="3361"/>
      <c r="I189" s="3361"/>
      <c r="J189" s="3361"/>
      <c r="K189" s="3361"/>
      <c r="L189" s="3361"/>
      <c r="M189" s="3361"/>
      <c r="N189" s="3361"/>
      <c r="O189" s="3361"/>
      <c r="P189" s="3361"/>
      <c r="Q189" s="3416"/>
    </row>
    <row r="190" spans="2:17" ht="20.25" customHeight="1" x14ac:dyDescent="0.25">
      <c r="B190" s="3415"/>
      <c r="C190" s="3361"/>
      <c r="D190" s="3361"/>
      <c r="E190" s="3361"/>
      <c r="F190" s="3361"/>
      <c r="G190" s="3361"/>
      <c r="H190" s="3361"/>
      <c r="I190" s="3361"/>
      <c r="J190" s="3361"/>
      <c r="K190" s="3361"/>
      <c r="L190" s="3361"/>
      <c r="M190" s="3361"/>
      <c r="N190" s="3361"/>
      <c r="O190" s="3361"/>
      <c r="P190" s="3361"/>
      <c r="Q190" s="3416"/>
    </row>
    <row r="191" spans="2:17" ht="20.25" customHeight="1" thickBot="1" x14ac:dyDescent="0.3">
      <c r="B191" s="3417"/>
      <c r="C191" s="3418"/>
      <c r="D191" s="3418"/>
      <c r="E191" s="3418"/>
      <c r="F191" s="3418"/>
      <c r="G191" s="3418"/>
      <c r="H191" s="3418"/>
      <c r="I191" s="3418"/>
      <c r="J191" s="3418"/>
      <c r="K191" s="3418"/>
      <c r="L191" s="3418"/>
      <c r="M191" s="3418"/>
      <c r="N191" s="3418"/>
      <c r="O191" s="3418"/>
      <c r="P191" s="3418"/>
      <c r="Q191" s="3419"/>
    </row>
    <row r="193" spans="1:20" ht="20.25" customHeight="1" thickBot="1" x14ac:dyDescent="0.3">
      <c r="B193" s="3411" t="s">
        <v>2609</v>
      </c>
      <c r="C193" s="3411"/>
      <c r="D193" s="3411"/>
      <c r="E193" s="3411"/>
      <c r="F193" s="3411"/>
      <c r="G193" s="3411"/>
      <c r="H193" s="3411"/>
      <c r="I193" s="3411"/>
      <c r="J193" s="3411"/>
      <c r="K193" s="3411"/>
      <c r="L193" s="3411"/>
      <c r="M193" s="3411"/>
      <c r="N193" s="3411"/>
      <c r="O193" s="3411"/>
      <c r="P193" s="3411"/>
      <c r="Q193" s="3411"/>
    </row>
    <row r="194" spans="1:20" ht="20.25" customHeight="1" x14ac:dyDescent="0.25">
      <c r="A194" s="3421" t="s">
        <v>1473</v>
      </c>
      <c r="B194" s="3412"/>
      <c r="C194" s="3413"/>
      <c r="D194" s="3413"/>
      <c r="E194" s="3413"/>
      <c r="F194" s="3413"/>
      <c r="G194" s="3413"/>
      <c r="H194" s="3413"/>
      <c r="I194" s="3413"/>
      <c r="J194" s="3413"/>
      <c r="K194" s="3413"/>
      <c r="L194" s="3413"/>
      <c r="M194" s="3413"/>
      <c r="N194" s="3413"/>
      <c r="O194" s="3413"/>
      <c r="P194" s="3413"/>
      <c r="Q194" s="3414"/>
    </row>
    <row r="195" spans="1:20" ht="20.25" customHeight="1" x14ac:dyDescent="0.25">
      <c r="A195" s="3421"/>
      <c r="B195" s="3415"/>
      <c r="C195" s="3361"/>
      <c r="D195" s="3361"/>
      <c r="E195" s="3361"/>
      <c r="F195" s="3361"/>
      <c r="G195" s="3361"/>
      <c r="H195" s="3361"/>
      <c r="I195" s="3361"/>
      <c r="J195" s="3361"/>
      <c r="K195" s="3361"/>
      <c r="L195" s="3361"/>
      <c r="M195" s="3361"/>
      <c r="N195" s="3361"/>
      <c r="O195" s="3361"/>
      <c r="P195" s="3361"/>
      <c r="Q195" s="3416"/>
    </row>
    <row r="196" spans="1:20" ht="20.25" customHeight="1" x14ac:dyDescent="0.25">
      <c r="A196" s="3421"/>
      <c r="B196" s="3415"/>
      <c r="C196" s="3361"/>
      <c r="D196" s="3361"/>
      <c r="E196" s="3361"/>
      <c r="F196" s="3361"/>
      <c r="G196" s="3361"/>
      <c r="H196" s="3361"/>
      <c r="I196" s="3361"/>
      <c r="J196" s="3361"/>
      <c r="K196" s="3361"/>
      <c r="L196" s="3361"/>
      <c r="M196" s="3361"/>
      <c r="N196" s="3361"/>
      <c r="O196" s="3361"/>
      <c r="P196" s="3361"/>
      <c r="Q196" s="3416"/>
    </row>
    <row r="197" spans="1:20" ht="20.25" customHeight="1" x14ac:dyDescent="0.25">
      <c r="A197" s="3421"/>
      <c r="B197" s="3415"/>
      <c r="C197" s="3361"/>
      <c r="D197" s="3361"/>
      <c r="E197" s="3361"/>
      <c r="F197" s="3361"/>
      <c r="G197" s="3361"/>
      <c r="H197" s="3361"/>
      <c r="I197" s="3361"/>
      <c r="J197" s="3361"/>
      <c r="K197" s="3361"/>
      <c r="L197" s="3361"/>
      <c r="M197" s="3361"/>
      <c r="N197" s="3361"/>
      <c r="O197" s="3361"/>
      <c r="P197" s="3361"/>
      <c r="Q197" s="3416"/>
    </row>
    <row r="198" spans="1:20" ht="20.25" customHeight="1" x14ac:dyDescent="0.25">
      <c r="A198" s="3421"/>
      <c r="B198" s="3415"/>
      <c r="C198" s="3361"/>
      <c r="D198" s="3361"/>
      <c r="E198" s="3361"/>
      <c r="F198" s="3361"/>
      <c r="G198" s="3361"/>
      <c r="H198" s="3361"/>
      <c r="I198" s="3361"/>
      <c r="J198" s="3361"/>
      <c r="K198" s="3361"/>
      <c r="L198" s="3361"/>
      <c r="M198" s="3361"/>
      <c r="N198" s="3361"/>
      <c r="O198" s="3361"/>
      <c r="P198" s="3361"/>
      <c r="Q198" s="3416"/>
    </row>
    <row r="199" spans="1:20" ht="20.25" customHeight="1" x14ac:dyDescent="0.25">
      <c r="A199" s="3421"/>
      <c r="B199" s="3415"/>
      <c r="C199" s="3361"/>
      <c r="D199" s="3361"/>
      <c r="E199" s="3361"/>
      <c r="F199" s="3361"/>
      <c r="G199" s="3361"/>
      <c r="H199" s="3361"/>
      <c r="I199" s="3361"/>
      <c r="J199" s="3361"/>
      <c r="K199" s="3361"/>
      <c r="L199" s="3361"/>
      <c r="M199" s="3361"/>
      <c r="N199" s="3361"/>
      <c r="O199" s="3361"/>
      <c r="P199" s="3361"/>
      <c r="Q199" s="3416"/>
    </row>
    <row r="200" spans="1:20" ht="20.25" customHeight="1" x14ac:dyDescent="0.25">
      <c r="A200" s="3421"/>
      <c r="B200" s="3415"/>
      <c r="C200" s="3361"/>
      <c r="D200" s="3361"/>
      <c r="E200" s="3361"/>
      <c r="F200" s="3361"/>
      <c r="G200" s="3361"/>
      <c r="H200" s="3361"/>
      <c r="I200" s="3361"/>
      <c r="J200" s="3361"/>
      <c r="K200" s="3361"/>
      <c r="L200" s="3361"/>
      <c r="M200" s="3361"/>
      <c r="N200" s="3361"/>
      <c r="O200" s="3361"/>
      <c r="P200" s="3361"/>
      <c r="Q200" s="3416"/>
    </row>
    <row r="201" spans="1:20" ht="20.25" customHeight="1" x14ac:dyDescent="0.25">
      <c r="A201" s="3421"/>
      <c r="B201" s="3415"/>
      <c r="C201" s="3361"/>
      <c r="D201" s="3361"/>
      <c r="E201" s="3361"/>
      <c r="F201" s="3361"/>
      <c r="G201" s="3361"/>
      <c r="H201" s="3361"/>
      <c r="I201" s="3361"/>
      <c r="J201" s="3361"/>
      <c r="K201" s="3361"/>
      <c r="L201" s="3361"/>
      <c r="M201" s="3361"/>
      <c r="N201" s="3361"/>
      <c r="O201" s="3361"/>
      <c r="P201" s="3361"/>
      <c r="Q201" s="3416"/>
      <c r="S201" s="681" t="s">
        <v>1474</v>
      </c>
      <c r="T201" s="681">
        <v>313.88958000000002</v>
      </c>
    </row>
    <row r="202" spans="1:20" ht="20.25" customHeight="1" x14ac:dyDescent="0.25">
      <c r="A202" s="3421"/>
      <c r="B202" s="3415"/>
      <c r="C202" s="3361"/>
      <c r="D202" s="3361"/>
      <c r="E202" s="3361"/>
      <c r="F202" s="3361"/>
      <c r="G202" s="3361"/>
      <c r="H202" s="3361"/>
      <c r="I202" s="3361"/>
      <c r="J202" s="3361"/>
      <c r="K202" s="3361"/>
      <c r="L202" s="3361"/>
      <c r="M202" s="3361"/>
      <c r="N202" s="3361"/>
      <c r="O202" s="3361"/>
      <c r="P202" s="3361"/>
      <c r="Q202" s="3416"/>
      <c r="S202" s="681" t="s">
        <v>1475</v>
      </c>
      <c r="T202" s="681">
        <v>3534.1974720000021</v>
      </c>
    </row>
    <row r="203" spans="1:20" ht="20.25" customHeight="1" x14ac:dyDescent="0.25">
      <c r="A203" s="3421"/>
      <c r="B203" s="3415"/>
      <c r="C203" s="3361"/>
      <c r="D203" s="3361"/>
      <c r="E203" s="3361"/>
      <c r="F203" s="3361"/>
      <c r="G203" s="3361"/>
      <c r="H203" s="3361"/>
      <c r="I203" s="3361"/>
      <c r="J203" s="3361"/>
      <c r="K203" s="3361"/>
      <c r="L203" s="3361"/>
      <c r="M203" s="3361"/>
      <c r="N203" s="3361"/>
      <c r="O203" s="3361"/>
      <c r="P203" s="3361"/>
      <c r="Q203" s="3416"/>
      <c r="S203" s="681" t="s">
        <v>1462</v>
      </c>
      <c r="T203" s="681">
        <v>765.15159999999946</v>
      </c>
    </row>
    <row r="204" spans="1:20" ht="20.25" customHeight="1" x14ac:dyDescent="0.25">
      <c r="A204" s="3421"/>
      <c r="B204" s="3415"/>
      <c r="C204" s="3361"/>
      <c r="D204" s="3361"/>
      <c r="E204" s="3361"/>
      <c r="F204" s="3361"/>
      <c r="G204" s="3361"/>
      <c r="H204" s="3361"/>
      <c r="I204" s="3361"/>
      <c r="J204" s="3361"/>
      <c r="K204" s="3361"/>
      <c r="L204" s="3361"/>
      <c r="M204" s="3361"/>
      <c r="N204" s="3361"/>
      <c r="O204" s="3361"/>
      <c r="P204" s="3361"/>
      <c r="Q204" s="3416"/>
      <c r="S204" s="681" t="s">
        <v>148</v>
      </c>
      <c r="T204" s="681">
        <v>14672.913364490003</v>
      </c>
    </row>
    <row r="205" spans="1:20" ht="20.25" customHeight="1" x14ac:dyDescent="0.25">
      <c r="A205" s="3421"/>
      <c r="B205" s="3415"/>
      <c r="C205" s="3361"/>
      <c r="D205" s="3361"/>
      <c r="E205" s="3361"/>
      <c r="F205" s="3361"/>
      <c r="G205" s="3361"/>
      <c r="H205" s="3361"/>
      <c r="I205" s="3361"/>
      <c r="J205" s="3361"/>
      <c r="K205" s="3361"/>
      <c r="L205" s="3361"/>
      <c r="M205" s="3361"/>
      <c r="N205" s="3361"/>
      <c r="O205" s="3361"/>
      <c r="P205" s="3361"/>
      <c r="Q205" s="3416"/>
    </row>
    <row r="206" spans="1:20" ht="20.25" customHeight="1" x14ac:dyDescent="0.25">
      <c r="A206" s="3421"/>
      <c r="B206" s="3415"/>
      <c r="C206" s="3361"/>
      <c r="D206" s="3361"/>
      <c r="E206" s="3361"/>
      <c r="F206" s="3361"/>
      <c r="G206" s="3361"/>
      <c r="H206" s="3361"/>
      <c r="I206" s="3361"/>
      <c r="J206" s="3361"/>
      <c r="K206" s="3361"/>
      <c r="L206" s="3361"/>
      <c r="M206" s="3361"/>
      <c r="N206" s="3361"/>
      <c r="O206" s="3361"/>
      <c r="P206" s="3361"/>
      <c r="Q206" s="3416"/>
    </row>
    <row r="207" spans="1:20" ht="20.25" customHeight="1" x14ac:dyDescent="0.25">
      <c r="A207" s="3421"/>
      <c r="B207" s="3415"/>
      <c r="C207" s="3361"/>
      <c r="D207" s="3361"/>
      <c r="E207" s="3361"/>
      <c r="F207" s="3361"/>
      <c r="G207" s="3361"/>
      <c r="H207" s="3361"/>
      <c r="I207" s="3361"/>
      <c r="J207" s="3361"/>
      <c r="K207" s="3361"/>
      <c r="L207" s="3361"/>
      <c r="M207" s="3361"/>
      <c r="N207" s="3361"/>
      <c r="O207" s="3361"/>
      <c r="P207" s="3361"/>
      <c r="Q207" s="3416"/>
    </row>
    <row r="208" spans="1:20" ht="20.25" customHeight="1" x14ac:dyDescent="0.25">
      <c r="A208" s="3421"/>
      <c r="B208" s="3415"/>
      <c r="C208" s="3361"/>
      <c r="D208" s="3361"/>
      <c r="E208" s="3361"/>
      <c r="F208" s="3361"/>
      <c r="G208" s="3361"/>
      <c r="H208" s="3361"/>
      <c r="I208" s="3361"/>
      <c r="J208" s="3361"/>
      <c r="K208" s="3361"/>
      <c r="L208" s="3361"/>
      <c r="M208" s="3361"/>
      <c r="N208" s="3361"/>
      <c r="O208" s="3361"/>
      <c r="P208" s="3361"/>
      <c r="Q208" s="3416"/>
    </row>
    <row r="209" spans="1:17" ht="20.25" customHeight="1" x14ac:dyDescent="0.25">
      <c r="A209" s="3421"/>
      <c r="B209" s="3415"/>
      <c r="C209" s="3361"/>
      <c r="D209" s="3361"/>
      <c r="E209" s="3361"/>
      <c r="F209" s="3361"/>
      <c r="G209" s="3361"/>
      <c r="H209" s="3361"/>
      <c r="I209" s="3361"/>
      <c r="J209" s="3361"/>
      <c r="K209" s="3361"/>
      <c r="L209" s="3361"/>
      <c r="M209" s="3361"/>
      <c r="N209" s="3361"/>
      <c r="O209" s="3361"/>
      <c r="P209" s="3361"/>
      <c r="Q209" s="3416"/>
    </row>
    <row r="210" spans="1:17" ht="20.25" customHeight="1" x14ac:dyDescent="0.25">
      <c r="A210" s="3421"/>
      <c r="B210" s="3415"/>
      <c r="C210" s="3361"/>
      <c r="D210" s="3361"/>
      <c r="E210" s="3361"/>
      <c r="F210" s="3361"/>
      <c r="G210" s="3361"/>
      <c r="H210" s="3361"/>
      <c r="I210" s="3361"/>
      <c r="J210" s="3361"/>
      <c r="K210" s="3361"/>
      <c r="L210" s="3361"/>
      <c r="M210" s="3361"/>
      <c r="N210" s="3361"/>
      <c r="O210" s="3361"/>
      <c r="P210" s="3361"/>
      <c r="Q210" s="3416"/>
    </row>
    <row r="211" spans="1:17" ht="20.25" customHeight="1" x14ac:dyDescent="0.25">
      <c r="A211" s="3421"/>
      <c r="B211" s="3415"/>
      <c r="C211" s="3361"/>
      <c r="D211" s="3361"/>
      <c r="E211" s="3361"/>
      <c r="F211" s="3361"/>
      <c r="G211" s="3361"/>
      <c r="H211" s="3361"/>
      <c r="I211" s="3361"/>
      <c r="J211" s="3361"/>
      <c r="K211" s="3361"/>
      <c r="L211" s="3361"/>
      <c r="M211" s="3361"/>
      <c r="N211" s="3361"/>
      <c r="O211" s="3361"/>
      <c r="P211" s="3361"/>
      <c r="Q211" s="3416"/>
    </row>
    <row r="212" spans="1:17" ht="20.25" customHeight="1" x14ac:dyDescent="0.25">
      <c r="A212" s="3421"/>
      <c r="B212" s="3415"/>
      <c r="C212" s="3361"/>
      <c r="D212" s="3361"/>
      <c r="E212" s="3361"/>
      <c r="F212" s="3361"/>
      <c r="G212" s="3361"/>
      <c r="H212" s="3361"/>
      <c r="I212" s="3361"/>
      <c r="J212" s="3361"/>
      <c r="K212" s="3361"/>
      <c r="L212" s="3361"/>
      <c r="M212" s="3361"/>
      <c r="N212" s="3361"/>
      <c r="O212" s="3361"/>
      <c r="P212" s="3361"/>
      <c r="Q212" s="3416"/>
    </row>
    <row r="213" spans="1:17" ht="20.25" customHeight="1" thickBot="1" x14ac:dyDescent="0.3">
      <c r="A213" s="3421"/>
      <c r="B213" s="3417"/>
      <c r="C213" s="3418"/>
      <c r="D213" s="3418"/>
      <c r="E213" s="3418"/>
      <c r="F213" s="3418"/>
      <c r="G213" s="3418"/>
      <c r="H213" s="3418"/>
      <c r="I213" s="3418"/>
      <c r="J213" s="3418"/>
      <c r="K213" s="3418"/>
      <c r="L213" s="3418"/>
      <c r="M213" s="3418"/>
      <c r="N213" s="3418"/>
      <c r="O213" s="3418"/>
      <c r="P213" s="3418"/>
      <c r="Q213" s="3419"/>
    </row>
    <row r="214" spans="1:17" ht="20.25" customHeight="1" x14ac:dyDescent="0.25">
      <c r="D214" s="681"/>
      <c r="E214" s="681"/>
      <c r="F214" s="681"/>
      <c r="G214" s="681"/>
      <c r="H214" s="681"/>
      <c r="I214" s="681"/>
      <c r="J214" s="681"/>
      <c r="K214" s="681"/>
      <c r="L214" s="681"/>
      <c r="M214" s="681"/>
      <c r="N214" s="681"/>
      <c r="O214" s="681"/>
      <c r="P214" s="681"/>
    </row>
    <row r="215" spans="1:17" ht="20.25" customHeight="1" thickBot="1" x14ac:dyDescent="0.3">
      <c r="B215" s="3411" t="s">
        <v>2610</v>
      </c>
      <c r="C215" s="3411"/>
      <c r="D215" s="3411"/>
      <c r="E215" s="3411"/>
      <c r="F215" s="3411"/>
      <c r="G215" s="3411"/>
      <c r="H215" s="3411"/>
      <c r="I215" s="3411"/>
      <c r="J215" s="3411"/>
      <c r="K215" s="3411"/>
      <c r="L215" s="3411"/>
      <c r="M215" s="3411"/>
      <c r="N215" s="3411"/>
      <c r="O215" s="3411"/>
      <c r="P215" s="3411"/>
      <c r="Q215" s="3411"/>
    </row>
    <row r="216" spans="1:17" ht="20.25" customHeight="1" x14ac:dyDescent="0.25">
      <c r="B216" s="804"/>
      <c r="C216" s="788"/>
      <c r="D216" s="788"/>
      <c r="E216" s="788"/>
      <c r="F216" s="788"/>
      <c r="G216" s="788"/>
      <c r="H216" s="788"/>
      <c r="I216" s="788"/>
      <c r="J216" s="788"/>
      <c r="K216" s="788"/>
      <c r="L216" s="788"/>
      <c r="M216" s="788"/>
      <c r="N216" s="788"/>
      <c r="O216" s="788"/>
      <c r="P216" s="788"/>
      <c r="Q216" s="789"/>
    </row>
    <row r="217" spans="1:17" ht="20.25" customHeight="1" x14ac:dyDescent="0.25">
      <c r="B217" s="805"/>
      <c r="D217" s="681"/>
      <c r="E217" s="681"/>
      <c r="F217" s="681"/>
      <c r="G217" s="681"/>
      <c r="H217" s="681"/>
      <c r="I217" s="681"/>
      <c r="J217" s="681"/>
      <c r="K217" s="681"/>
      <c r="L217" s="681"/>
      <c r="M217" s="681"/>
      <c r="N217" s="681"/>
      <c r="O217" s="681"/>
      <c r="P217" s="681"/>
      <c r="Q217" s="765"/>
    </row>
    <row r="218" spans="1:17" ht="20.25" customHeight="1" x14ac:dyDescent="0.25">
      <c r="B218" s="805"/>
      <c r="D218" s="681"/>
      <c r="E218" s="681"/>
      <c r="F218" s="681"/>
      <c r="G218" s="681"/>
      <c r="H218" s="681"/>
      <c r="I218" s="681"/>
      <c r="J218" s="681"/>
      <c r="K218" s="681"/>
      <c r="L218" s="681"/>
      <c r="M218" s="681"/>
      <c r="N218" s="681"/>
      <c r="O218" s="681"/>
      <c r="P218" s="681"/>
      <c r="Q218" s="765"/>
    </row>
    <row r="219" spans="1:17" ht="20.25" customHeight="1" x14ac:dyDescent="0.25">
      <c r="B219" s="805"/>
      <c r="D219" s="681"/>
      <c r="E219" s="681"/>
      <c r="F219" s="681"/>
      <c r="G219" s="681"/>
      <c r="H219" s="681"/>
      <c r="I219" s="681"/>
      <c r="J219" s="681"/>
      <c r="K219" s="681"/>
      <c r="L219" s="681"/>
      <c r="M219" s="681"/>
      <c r="N219" s="681"/>
      <c r="O219" s="681"/>
      <c r="P219" s="681"/>
      <c r="Q219" s="765"/>
    </row>
    <row r="220" spans="1:17" ht="20.25" customHeight="1" x14ac:dyDescent="0.25">
      <c r="B220" s="805"/>
      <c r="D220" s="681"/>
      <c r="E220" s="681"/>
      <c r="F220" s="681"/>
      <c r="G220" s="681"/>
      <c r="H220" s="681"/>
      <c r="I220" s="681"/>
      <c r="J220" s="681"/>
      <c r="K220" s="681"/>
      <c r="L220" s="681"/>
      <c r="M220" s="681"/>
      <c r="N220" s="681"/>
      <c r="O220" s="681"/>
      <c r="P220" s="681"/>
      <c r="Q220" s="765"/>
    </row>
    <row r="221" spans="1:17" ht="20.25" customHeight="1" x14ac:dyDescent="0.25">
      <c r="B221" s="805"/>
      <c r="D221" s="681"/>
      <c r="E221" s="681"/>
      <c r="F221" s="681"/>
      <c r="G221" s="681"/>
      <c r="H221" s="681"/>
      <c r="I221" s="681"/>
      <c r="J221" s="681"/>
      <c r="K221" s="681"/>
      <c r="L221" s="681"/>
      <c r="M221" s="681"/>
      <c r="N221" s="681"/>
      <c r="O221" s="681"/>
      <c r="P221" s="681"/>
      <c r="Q221" s="765"/>
    </row>
    <row r="222" spans="1:17" ht="20.25" customHeight="1" x14ac:dyDescent="0.25">
      <c r="B222" s="805"/>
      <c r="D222" s="681"/>
      <c r="E222" s="681"/>
      <c r="F222" s="681"/>
      <c r="G222" s="681"/>
      <c r="H222" s="681"/>
      <c r="I222" s="681"/>
      <c r="J222" s="681"/>
      <c r="K222" s="681"/>
      <c r="L222" s="681"/>
      <c r="M222" s="681"/>
      <c r="N222" s="681"/>
      <c r="O222" s="681"/>
      <c r="P222" s="681"/>
      <c r="Q222" s="765"/>
    </row>
    <row r="223" spans="1:17" ht="20.25" customHeight="1" x14ac:dyDescent="0.25">
      <c r="B223" s="805"/>
      <c r="D223" s="681"/>
      <c r="E223" s="681"/>
      <c r="F223" s="681"/>
      <c r="G223" s="681"/>
      <c r="H223" s="681"/>
      <c r="I223" s="681"/>
      <c r="J223" s="681"/>
      <c r="K223" s="681"/>
      <c r="L223" s="681"/>
      <c r="M223" s="681"/>
      <c r="N223" s="681"/>
      <c r="O223" s="681"/>
      <c r="P223" s="681"/>
      <c r="Q223" s="765"/>
    </row>
    <row r="224" spans="1:17" ht="20.25" customHeight="1" x14ac:dyDescent="0.25">
      <c r="B224" s="805"/>
      <c r="D224" s="681"/>
      <c r="E224" s="681"/>
      <c r="F224" s="681"/>
      <c r="G224" s="681"/>
      <c r="H224" s="681"/>
      <c r="I224" s="681"/>
      <c r="J224" s="681"/>
      <c r="K224" s="681"/>
      <c r="L224" s="681"/>
      <c r="M224" s="681"/>
      <c r="N224" s="681"/>
      <c r="O224" s="681"/>
      <c r="P224" s="681"/>
      <c r="Q224" s="765"/>
    </row>
    <row r="225" spans="2:17" ht="20.25" customHeight="1" x14ac:dyDescent="0.25">
      <c r="B225" s="805"/>
      <c r="D225" s="681"/>
      <c r="E225" s="681"/>
      <c r="F225" s="681"/>
      <c r="G225" s="681"/>
      <c r="H225" s="681"/>
      <c r="I225" s="681"/>
      <c r="J225" s="681"/>
      <c r="K225" s="681"/>
      <c r="L225" s="681"/>
      <c r="M225" s="681"/>
      <c r="N225" s="681"/>
      <c r="O225" s="681"/>
      <c r="P225" s="681"/>
      <c r="Q225" s="765"/>
    </row>
    <row r="226" spans="2:17" ht="20.25" customHeight="1" x14ac:dyDescent="0.25">
      <c r="B226" s="805"/>
      <c r="D226" s="681"/>
      <c r="E226" s="681"/>
      <c r="F226" s="681"/>
      <c r="G226" s="681"/>
      <c r="H226" s="681"/>
      <c r="I226" s="681"/>
      <c r="J226" s="681"/>
      <c r="K226" s="681"/>
      <c r="L226" s="681"/>
      <c r="M226" s="681"/>
      <c r="N226" s="681"/>
      <c r="O226" s="681"/>
      <c r="P226" s="681"/>
      <c r="Q226" s="765"/>
    </row>
    <row r="227" spans="2:17" ht="20.25" customHeight="1" x14ac:dyDescent="0.25">
      <c r="B227" s="805"/>
      <c r="D227" s="681"/>
      <c r="E227" s="681"/>
      <c r="F227" s="681"/>
      <c r="G227" s="681"/>
      <c r="H227" s="681"/>
      <c r="I227" s="681"/>
      <c r="J227" s="681"/>
      <c r="K227" s="681"/>
      <c r="L227" s="681"/>
      <c r="M227" s="681"/>
      <c r="N227" s="681"/>
      <c r="O227" s="681"/>
      <c r="P227" s="681"/>
      <c r="Q227" s="765"/>
    </row>
    <row r="228" spans="2:17" ht="20.25" customHeight="1" x14ac:dyDescent="0.25">
      <c r="B228" s="805"/>
      <c r="D228" s="681"/>
      <c r="E228" s="681"/>
      <c r="F228" s="681"/>
      <c r="G228" s="681"/>
      <c r="H228" s="681"/>
      <c r="I228" s="681"/>
      <c r="J228" s="681"/>
      <c r="K228" s="681"/>
      <c r="L228" s="681"/>
      <c r="M228" s="681"/>
      <c r="N228" s="681"/>
      <c r="O228" s="681"/>
      <c r="P228" s="681"/>
      <c r="Q228" s="765"/>
    </row>
    <row r="229" spans="2:17" ht="20.25" customHeight="1" x14ac:dyDescent="0.25">
      <c r="B229" s="805"/>
      <c r="D229" s="681"/>
      <c r="E229" s="681"/>
      <c r="F229" s="681"/>
      <c r="G229" s="681"/>
      <c r="H229" s="681"/>
      <c r="I229" s="681"/>
      <c r="J229" s="681"/>
      <c r="K229" s="681"/>
      <c r="L229" s="681"/>
      <c r="M229" s="681"/>
      <c r="N229" s="681"/>
      <c r="O229" s="681"/>
      <c r="P229" s="681"/>
      <c r="Q229" s="765"/>
    </row>
    <row r="230" spans="2:17" ht="20.25" customHeight="1" x14ac:dyDescent="0.25">
      <c r="B230" s="805"/>
      <c r="D230" s="681"/>
      <c r="E230" s="681"/>
      <c r="F230" s="681"/>
      <c r="G230" s="681"/>
      <c r="H230" s="681"/>
      <c r="I230" s="681"/>
      <c r="J230" s="681"/>
      <c r="K230" s="681"/>
      <c r="L230" s="681"/>
      <c r="M230" s="681"/>
      <c r="N230" s="681"/>
      <c r="O230" s="681"/>
      <c r="P230" s="681"/>
      <c r="Q230" s="765"/>
    </row>
    <row r="231" spans="2:17" ht="20.25" customHeight="1" x14ac:dyDescent="0.25">
      <c r="B231" s="805"/>
      <c r="D231" s="681"/>
      <c r="E231" s="681"/>
      <c r="F231" s="681"/>
      <c r="G231" s="681"/>
      <c r="H231" s="681"/>
      <c r="I231" s="681"/>
      <c r="J231" s="681"/>
      <c r="K231" s="681"/>
      <c r="L231" s="681"/>
      <c r="M231" s="681"/>
      <c r="N231" s="681"/>
      <c r="O231" s="681"/>
      <c r="P231" s="681"/>
      <c r="Q231" s="765"/>
    </row>
    <row r="232" spans="2:17" ht="20.25" customHeight="1" x14ac:dyDescent="0.25">
      <c r="B232" s="805"/>
      <c r="D232" s="681"/>
      <c r="E232" s="681"/>
      <c r="F232" s="681"/>
      <c r="G232" s="681"/>
      <c r="H232" s="681"/>
      <c r="I232" s="681"/>
      <c r="J232" s="681"/>
      <c r="K232" s="681"/>
      <c r="L232" s="681"/>
      <c r="M232" s="681"/>
      <c r="N232" s="681"/>
      <c r="O232" s="681"/>
      <c r="P232" s="681"/>
      <c r="Q232" s="765"/>
    </row>
    <row r="233" spans="2:17" ht="20.25" customHeight="1" x14ac:dyDescent="0.25">
      <c r="B233" s="805"/>
      <c r="D233" s="681"/>
      <c r="E233" s="681"/>
      <c r="F233" s="681"/>
      <c r="G233" s="681"/>
      <c r="H233" s="681"/>
      <c r="I233" s="681"/>
      <c r="J233" s="681"/>
      <c r="K233" s="681"/>
      <c r="L233" s="681"/>
      <c r="M233" s="681"/>
      <c r="N233" s="681"/>
      <c r="O233" s="681"/>
      <c r="P233" s="681"/>
      <c r="Q233" s="765"/>
    </row>
  </sheetData>
  <mergeCells count="38">
    <mergeCell ref="F10:I10"/>
    <mergeCell ref="E3:P3"/>
    <mergeCell ref="X3:AJ3"/>
    <mergeCell ref="AM3:AO4"/>
    <mergeCell ref="E4:P4"/>
    <mergeCell ref="X4:AJ4"/>
    <mergeCell ref="F5:I5"/>
    <mergeCell ref="AT5:AU5"/>
    <mergeCell ref="F6:I6"/>
    <mergeCell ref="F7:I7"/>
    <mergeCell ref="F8:I8"/>
    <mergeCell ref="F9:I9"/>
    <mergeCell ref="B60:Q60"/>
    <mergeCell ref="F11:I11"/>
    <mergeCell ref="F12:I12"/>
    <mergeCell ref="F13:I13"/>
    <mergeCell ref="F14:I14"/>
    <mergeCell ref="F17:I17"/>
    <mergeCell ref="F18:I18"/>
    <mergeCell ref="F19:I19"/>
    <mergeCell ref="E22:S22"/>
    <mergeCell ref="B24:Q24"/>
    <mergeCell ref="B26:B56"/>
    <mergeCell ref="C26:Q56"/>
    <mergeCell ref="A194:A213"/>
    <mergeCell ref="B194:Q213"/>
    <mergeCell ref="B61:Q92"/>
    <mergeCell ref="A63:A70"/>
    <mergeCell ref="B94:Q94"/>
    <mergeCell ref="B96:Q116"/>
    <mergeCell ref="B118:Q118"/>
    <mergeCell ref="B120:Q139"/>
    <mergeCell ref="B215:Q215"/>
    <mergeCell ref="B141:Q141"/>
    <mergeCell ref="B142:Q164"/>
    <mergeCell ref="B166:Q166"/>
    <mergeCell ref="B168:Q191"/>
    <mergeCell ref="B193:Q193"/>
  </mergeCells>
  <pageMargins left="0.70866141732283472" right="0.70866141732283472" top="0.74803149606299213" bottom="0.74803149606299213" header="0.31496062992125984" footer="0.31496062992125984"/>
  <pageSetup paperSize="9" scale="49" orientation="portrait" horizontalDpi="300" verticalDpi="300" r:id="rId1"/>
  <rowBreaks count="2" manualBreakCount="2">
    <brk id="92" max="16" man="1"/>
    <brk id="164" max="16" man="1"/>
  </row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0A453A-20C1-4137-8603-EC26E13BA8E5}">
  <sheetPr>
    <tabColor theme="0"/>
    <pageSetUpPr fitToPage="1"/>
  </sheetPr>
  <dimension ref="B1:AH65"/>
  <sheetViews>
    <sheetView showGridLines="0" view="pageLayout" topLeftCell="C22" zoomScale="70" zoomScaleNormal="55" zoomScalePageLayoutView="70" workbookViewId="0">
      <selection activeCell="J11" sqref="J11"/>
    </sheetView>
  </sheetViews>
  <sheetFormatPr defaultColWidth="9.140625" defaultRowHeight="16.5" x14ac:dyDescent="0.3"/>
  <cols>
    <col min="1" max="1" width="3.5703125" style="4" customWidth="1"/>
    <col min="2" max="2" width="27.140625" style="4" customWidth="1"/>
    <col min="3" max="3" width="13.85546875" style="51" customWidth="1"/>
    <col min="4" max="5" width="11.7109375" style="51" customWidth="1"/>
    <col min="6" max="6" width="17.28515625" style="51" customWidth="1"/>
    <col min="7" max="7" width="12.7109375" style="51" customWidth="1"/>
    <col min="8" max="8" width="11.7109375" style="51" customWidth="1"/>
    <col min="9" max="9" width="12.7109375" style="51" customWidth="1"/>
    <col min="10" max="10" width="11.7109375" style="51" customWidth="1"/>
    <col min="11" max="11" width="12.7109375" style="51" customWidth="1"/>
    <col min="12" max="12" width="11.7109375" style="51" customWidth="1"/>
    <col min="13" max="13" width="12.7109375" style="51" customWidth="1"/>
    <col min="14" max="14" width="11.7109375" style="51" customWidth="1"/>
    <col min="15" max="16" width="9.140625" style="4" customWidth="1"/>
    <col min="17" max="17" width="42.28515625" style="4" customWidth="1"/>
    <col min="18" max="18" width="12.28515625" style="4" customWidth="1"/>
    <col min="19" max="19" width="14.7109375" style="4" customWidth="1"/>
    <col min="20" max="20" width="6.7109375" style="4" customWidth="1"/>
    <col min="21" max="21" width="42.28515625" style="4" customWidth="1"/>
    <col min="22" max="22" width="17.140625" style="4" customWidth="1"/>
    <col min="23" max="23" width="12.28515625" style="4" customWidth="1"/>
    <col min="24" max="24" width="13.5703125" style="4" customWidth="1"/>
    <col min="25" max="25" width="12.42578125" style="4" customWidth="1"/>
    <col min="26" max="28" width="12.28515625" style="4" customWidth="1"/>
    <col min="29" max="29" width="12.28515625" style="155" customWidth="1"/>
    <col min="30" max="30" width="12.28515625" style="4" customWidth="1"/>
    <col min="31" max="31" width="13.85546875" style="4" customWidth="1"/>
    <col min="32" max="32" width="13" style="4" customWidth="1"/>
    <col min="33" max="33" width="14.28515625" style="4" customWidth="1"/>
    <col min="34" max="34" width="14" style="4" customWidth="1"/>
    <col min="35" max="35" width="9.140625" style="4" customWidth="1"/>
    <col min="36" max="36" width="44.7109375" style="4" customWidth="1"/>
    <col min="37" max="16384" width="9.140625" style="4"/>
  </cols>
  <sheetData>
    <row r="1" spans="2:34" ht="23.25" customHeight="1" x14ac:dyDescent="0.3">
      <c r="B1" s="3440" t="s">
        <v>2548</v>
      </c>
      <c r="C1" s="3441"/>
      <c r="D1" s="3441"/>
      <c r="E1" s="3441"/>
      <c r="F1" s="3441"/>
      <c r="G1" s="3441"/>
      <c r="H1" s="3441"/>
      <c r="I1" s="3441"/>
      <c r="J1" s="3441"/>
      <c r="K1" s="3441"/>
      <c r="L1" s="3441"/>
      <c r="M1" s="3441"/>
      <c r="N1" s="3442"/>
    </row>
    <row r="2" spans="2:34" x14ac:dyDescent="0.3">
      <c r="B2" s="3443" t="s">
        <v>1476</v>
      </c>
      <c r="C2" s="3444"/>
      <c r="D2" s="3444"/>
      <c r="E2" s="3444"/>
      <c r="F2" s="3444"/>
      <c r="G2" s="3444"/>
      <c r="H2" s="3444"/>
      <c r="I2" s="3444"/>
      <c r="J2" s="3444"/>
      <c r="K2" s="3444"/>
      <c r="L2" s="3444"/>
      <c r="M2" s="3444"/>
      <c r="N2" s="3445"/>
      <c r="U2" s="112">
        <f>+U3/S5</f>
        <v>41.725256436854657</v>
      </c>
    </row>
    <row r="3" spans="2:34" x14ac:dyDescent="0.3">
      <c r="B3" s="1081" t="s">
        <v>1477</v>
      </c>
      <c r="C3" s="3446" t="s">
        <v>112</v>
      </c>
      <c r="D3" s="3446"/>
      <c r="E3" s="3447" t="s">
        <v>1046</v>
      </c>
      <c r="F3" s="3448"/>
      <c r="G3" s="3446" t="s">
        <v>1045</v>
      </c>
      <c r="H3" s="3446"/>
      <c r="I3" s="3446" t="s">
        <v>1059</v>
      </c>
      <c r="J3" s="3446"/>
      <c r="K3" s="3446" t="s">
        <v>1050</v>
      </c>
      <c r="L3" s="3446"/>
      <c r="M3" s="3446" t="s">
        <v>1049</v>
      </c>
      <c r="N3" s="3449"/>
      <c r="T3" s="156"/>
      <c r="U3" s="112">
        <f>+C5*1000*1000</f>
        <v>52532097.85400001</v>
      </c>
    </row>
    <row r="4" spans="2:34" ht="63" customHeight="1" x14ac:dyDescent="0.3">
      <c r="B4" s="1081"/>
      <c r="C4" s="1082" t="s">
        <v>1478</v>
      </c>
      <c r="D4" s="1082" t="s">
        <v>1479</v>
      </c>
      <c r="E4" s="1082" t="s">
        <v>1478</v>
      </c>
      <c r="F4" s="1082" t="s">
        <v>1479</v>
      </c>
      <c r="G4" s="1082" t="s">
        <v>1478</v>
      </c>
      <c r="H4" s="1082" t="s">
        <v>1479</v>
      </c>
      <c r="I4" s="1082" t="s">
        <v>1478</v>
      </c>
      <c r="J4" s="1082" t="s">
        <v>1479</v>
      </c>
      <c r="K4" s="1082" t="s">
        <v>1478</v>
      </c>
      <c r="L4" s="1082" t="s">
        <v>1479</v>
      </c>
      <c r="M4" s="1082" t="s">
        <v>1480</v>
      </c>
      <c r="N4" s="1083" t="s">
        <v>1479</v>
      </c>
      <c r="Q4" s="53" t="s">
        <v>1477</v>
      </c>
      <c r="R4" s="12" t="s">
        <v>1481</v>
      </c>
      <c r="S4" s="5"/>
      <c r="U4" s="4" t="s">
        <v>1482</v>
      </c>
      <c r="V4" s="55" t="s">
        <v>1483</v>
      </c>
      <c r="W4" s="55" t="s">
        <v>112</v>
      </c>
      <c r="X4" s="55" t="s">
        <v>1046</v>
      </c>
      <c r="Y4" s="55" t="s">
        <v>1045</v>
      </c>
      <c r="Z4" s="55" t="s">
        <v>1059</v>
      </c>
      <c r="AA4" s="55" t="s">
        <v>1050</v>
      </c>
      <c r="AB4" s="55" t="s">
        <v>1051</v>
      </c>
      <c r="AC4" s="55" t="s">
        <v>1049</v>
      </c>
      <c r="AD4" s="55" t="s">
        <v>1065</v>
      </c>
      <c r="AE4" s="55" t="s">
        <v>1066</v>
      </c>
      <c r="AF4" s="55" t="s">
        <v>1054</v>
      </c>
      <c r="AG4" s="55" t="s">
        <v>1157</v>
      </c>
      <c r="AH4" s="55" t="s">
        <v>148</v>
      </c>
    </row>
    <row r="5" spans="2:34" ht="24" customHeight="1" x14ac:dyDescent="0.3">
      <c r="B5" s="157" t="s">
        <v>1484</v>
      </c>
      <c r="C5" s="1084">
        <f>W5</f>
        <v>52.532097854000007</v>
      </c>
      <c r="D5" s="1084">
        <f>(C5*1000*1000)/$S5</f>
        <v>41.725256436854657</v>
      </c>
      <c r="E5" s="1084">
        <f>X5</f>
        <v>0</v>
      </c>
      <c r="F5" s="1084">
        <f>(E5*1000*1000)/$S5</f>
        <v>0</v>
      </c>
      <c r="G5" s="1084">
        <f>Y5</f>
        <v>138.57027809355074</v>
      </c>
      <c r="H5" s="1084">
        <f>(G5*1000*1000)/$S5</f>
        <v>110.06376337851529</v>
      </c>
      <c r="I5" s="1084">
        <f>Z5</f>
        <v>0.1696498054474708</v>
      </c>
      <c r="J5" s="1084">
        <f>(I5*1000*1000)/$S5</f>
        <v>0.13474964690029453</v>
      </c>
      <c r="K5" s="1084">
        <f>AA5</f>
        <v>258.24057790082645</v>
      </c>
      <c r="L5" s="1084">
        <f>(K5*1000*1000)/$S5</f>
        <v>205.11562978620051</v>
      </c>
      <c r="M5" s="1084">
        <f>AC5</f>
        <v>68.113358052963321</v>
      </c>
      <c r="N5" s="1084">
        <f t="shared" ref="N5:N45" si="0">(M5*1000*1000)/$S5</f>
        <v>54.1011581040217</v>
      </c>
      <c r="Q5" s="62" t="s">
        <v>1484</v>
      </c>
      <c r="R5" s="39">
        <f>VLOOKUP(Q5,[14]Sheet1!$A$4:$B$45,2,0)*100</f>
        <v>1259</v>
      </c>
      <c r="S5" s="4">
        <f t="shared" ref="S5:S47" si="1">+R5*1000</f>
        <v>1259000</v>
      </c>
      <c r="T5" s="43"/>
      <c r="U5" s="39" t="s">
        <v>1484</v>
      </c>
      <c r="V5" s="1085">
        <v>521.55587184709418</v>
      </c>
      <c r="W5" s="1085">
        <v>52.532097854000007</v>
      </c>
      <c r="X5" s="1085">
        <v>0</v>
      </c>
      <c r="Y5" s="1085">
        <v>138.57027809355074</v>
      </c>
      <c r="Z5" s="1085">
        <v>0.1696498054474708</v>
      </c>
      <c r="AA5" s="1085">
        <v>258.24057790082645</v>
      </c>
      <c r="AB5" s="1085">
        <v>0.26109215017064846</v>
      </c>
      <c r="AC5" s="1085">
        <v>68.113358052963321</v>
      </c>
      <c r="AD5" s="1085">
        <v>0.38300600153491937</v>
      </c>
      <c r="AE5" s="1085">
        <v>3.1135041236768419</v>
      </c>
      <c r="AF5" s="1085">
        <v>8.5349999999999995E-2</v>
      </c>
      <c r="AG5" s="1085">
        <v>0</v>
      </c>
      <c r="AH5" s="1085">
        <v>8.6957864923747269E-2</v>
      </c>
    </row>
    <row r="6" spans="2:34" ht="24" customHeight="1" x14ac:dyDescent="0.3">
      <c r="B6" s="157" t="s">
        <v>1485</v>
      </c>
      <c r="C6" s="1084">
        <f t="shared" ref="C6:C14" si="2">W6</f>
        <v>780.2176942159989</v>
      </c>
      <c r="D6" s="1084">
        <f t="shared" ref="D6:D45" si="3">(C6*1000*1000)/$S6</f>
        <v>35.023463402432952</v>
      </c>
      <c r="E6" s="1084">
        <f t="shared" ref="E6:E14" si="4">X6</f>
        <v>0</v>
      </c>
      <c r="F6" s="1084">
        <f t="shared" ref="F6:F45" si="5">(E6*1000*1000)/$S6</f>
        <v>0</v>
      </c>
      <c r="G6" s="1084">
        <f t="shared" ref="G6:G14" si="6">Y6</f>
        <v>1088.6116323855424</v>
      </c>
      <c r="H6" s="1084">
        <f t="shared" ref="H6:H45" si="7">(G6*1000*1000)/$S6</f>
        <v>48.867066139315995</v>
      </c>
      <c r="I6" s="1084">
        <f t="shared" ref="I6:I14" si="8">Z6</f>
        <v>0.10675175097276265</v>
      </c>
      <c r="J6" s="1084">
        <f t="shared" ref="J6:J45" si="9">(I6*1000*1000)/$S6</f>
        <v>4.7920164731679602E-3</v>
      </c>
      <c r="K6" s="1084">
        <f t="shared" ref="K6:K14" si="10">AA6</f>
        <v>514.63480716528886</v>
      </c>
      <c r="L6" s="1084">
        <f t="shared" ref="L6:L45" si="11">(K6*1000*1000)/$S6</f>
        <v>23.1016208270992</v>
      </c>
      <c r="M6" s="1084">
        <f t="shared" ref="M6:M14" si="12">AC6</f>
        <v>2546.0636073501896</v>
      </c>
      <c r="N6" s="1299">
        <f t="shared" si="0"/>
        <v>114.29113468376306</v>
      </c>
      <c r="Q6" s="62" t="s">
        <v>1485</v>
      </c>
      <c r="R6" s="39">
        <f>VLOOKUP(Q6,[14]Sheet1!$A$4:$B$45,2,0)*100</f>
        <v>22277</v>
      </c>
      <c r="S6" s="4">
        <f t="shared" si="1"/>
        <v>22277000</v>
      </c>
      <c r="T6" s="43"/>
      <c r="U6" s="39" t="s">
        <v>1485</v>
      </c>
      <c r="V6" s="1085">
        <v>4957.4505827124312</v>
      </c>
      <c r="W6" s="1085">
        <v>780.2176942159989</v>
      </c>
      <c r="X6" s="1085">
        <v>0</v>
      </c>
      <c r="Y6" s="1085">
        <v>1088.6116323855424</v>
      </c>
      <c r="Z6" s="1085">
        <v>0.10675175097276265</v>
      </c>
      <c r="AA6" s="1085">
        <v>514.63480716528886</v>
      </c>
      <c r="AB6" s="1085">
        <v>0</v>
      </c>
      <c r="AC6" s="1085">
        <v>2546.0636073501896</v>
      </c>
      <c r="AD6" s="1085">
        <v>0</v>
      </c>
      <c r="AE6" s="1085">
        <v>16.912992379486557</v>
      </c>
      <c r="AF6" s="1085">
        <v>0.19361999999999996</v>
      </c>
      <c r="AG6" s="1085">
        <v>0</v>
      </c>
      <c r="AH6" s="1085">
        <v>10.709477464951911</v>
      </c>
    </row>
    <row r="7" spans="2:34" ht="24" customHeight="1" x14ac:dyDescent="0.3">
      <c r="B7" s="157" t="s">
        <v>507</v>
      </c>
      <c r="C7" s="1084">
        <f t="shared" si="2"/>
        <v>1145.8867523999993</v>
      </c>
      <c r="D7" s="1084">
        <f t="shared" si="3"/>
        <v>37.040559619860332</v>
      </c>
      <c r="E7" s="1084">
        <f t="shared" si="4"/>
        <v>3338.9906800000003</v>
      </c>
      <c r="F7" s="1299">
        <f t="shared" si="5"/>
        <v>107.93220455133178</v>
      </c>
      <c r="G7" s="1084">
        <f t="shared" si="6"/>
        <v>1528.4504665277359</v>
      </c>
      <c r="H7" s="1084">
        <f t="shared" si="7"/>
        <v>49.406855008008009</v>
      </c>
      <c r="I7" s="1084">
        <f t="shared" si="8"/>
        <v>0.73229571984435793</v>
      </c>
      <c r="J7" s="1084">
        <f t="shared" si="9"/>
        <v>2.3671312381832104E-2</v>
      </c>
      <c r="K7" s="1084">
        <f t="shared" si="10"/>
        <v>4372.3035661427148</v>
      </c>
      <c r="L7" s="1084">
        <f t="shared" si="11"/>
        <v>141.3338365057769</v>
      </c>
      <c r="M7" s="1084">
        <f t="shared" si="12"/>
        <v>20.02508540372671</v>
      </c>
      <c r="N7" s="1084">
        <f t="shared" si="0"/>
        <v>0.64730687237285711</v>
      </c>
      <c r="Q7" s="62" t="s">
        <v>507</v>
      </c>
      <c r="R7" s="39">
        <v>30936</v>
      </c>
      <c r="S7" s="4">
        <f t="shared" si="1"/>
        <v>30936000</v>
      </c>
      <c r="T7" s="43"/>
      <c r="U7" s="39" t="s">
        <v>507</v>
      </c>
      <c r="V7" s="1085">
        <v>10907.545004328322</v>
      </c>
      <c r="W7" s="1085">
        <v>1145.8867523999993</v>
      </c>
      <c r="X7" s="1085">
        <v>3338.9906800000003</v>
      </c>
      <c r="Y7" s="1085">
        <v>1528.4504665277359</v>
      </c>
      <c r="Z7" s="1085">
        <v>0.73229571984435793</v>
      </c>
      <c r="AA7" s="1085">
        <v>4372.3035661427148</v>
      </c>
      <c r="AB7" s="1085">
        <v>17.924710068259387</v>
      </c>
      <c r="AC7" s="1085">
        <v>20.02508540372671</v>
      </c>
      <c r="AD7" s="1085">
        <v>42.875466999999993</v>
      </c>
      <c r="AE7" s="1085">
        <v>54.466564677533398</v>
      </c>
      <c r="AF7" s="1085">
        <v>223.67446699999991</v>
      </c>
      <c r="AG7" s="1085">
        <v>0</v>
      </c>
      <c r="AH7" s="1085">
        <v>162.21494938850685</v>
      </c>
    </row>
    <row r="8" spans="2:34" ht="24" customHeight="1" x14ac:dyDescent="0.3">
      <c r="B8" s="157" t="s">
        <v>538</v>
      </c>
      <c r="C8" s="1084">
        <f t="shared" si="2"/>
        <v>213.28640111799967</v>
      </c>
      <c r="D8" s="1084">
        <f t="shared" si="3"/>
        <v>28.279819824714885</v>
      </c>
      <c r="E8" s="1084">
        <f t="shared" si="4"/>
        <v>0</v>
      </c>
      <c r="F8" s="1084">
        <f t="shared" si="5"/>
        <v>0</v>
      </c>
      <c r="G8" s="1084">
        <f t="shared" si="6"/>
        <v>380.23607686747033</v>
      </c>
      <c r="H8" s="1084">
        <f t="shared" si="7"/>
        <v>50.415815018227306</v>
      </c>
      <c r="I8" s="1084">
        <f t="shared" si="8"/>
        <v>3.4101989416342384</v>
      </c>
      <c r="J8" s="1084">
        <f t="shared" si="9"/>
        <v>0.45216109011326422</v>
      </c>
      <c r="K8" s="1084">
        <f t="shared" si="10"/>
        <v>778.39188008264694</v>
      </c>
      <c r="L8" s="1084">
        <f t="shared" si="11"/>
        <v>103.20762133156285</v>
      </c>
      <c r="M8" s="1084">
        <f t="shared" si="12"/>
        <v>0.83605766304347806</v>
      </c>
      <c r="N8" s="1084">
        <f t="shared" si="0"/>
        <v>0.1108535750521716</v>
      </c>
      <c r="Q8" s="62" t="s">
        <v>538</v>
      </c>
      <c r="R8" s="39">
        <v>7542</v>
      </c>
      <c r="S8" s="4">
        <f t="shared" si="1"/>
        <v>7542000</v>
      </c>
      <c r="T8" s="43"/>
      <c r="U8" s="39" t="s">
        <v>538</v>
      </c>
      <c r="V8" s="1085">
        <v>1903.9706613957555</v>
      </c>
      <c r="W8" s="1085">
        <v>213.28640111799967</v>
      </c>
      <c r="X8" s="1085">
        <v>0</v>
      </c>
      <c r="Y8" s="1085">
        <v>380.23607686747033</v>
      </c>
      <c r="Z8" s="1085">
        <v>3.4101989416342384</v>
      </c>
      <c r="AA8" s="1085">
        <v>778.39188008264694</v>
      </c>
      <c r="AB8" s="1085">
        <v>4.0955238907849828E-2</v>
      </c>
      <c r="AC8" s="1085">
        <v>0.83605766304347806</v>
      </c>
      <c r="AD8" s="1085">
        <v>8.1376320030698377</v>
      </c>
      <c r="AE8" s="1085">
        <v>13.362309777854582</v>
      </c>
      <c r="AF8" s="1085">
        <v>72.474185999999975</v>
      </c>
      <c r="AG8" s="1085">
        <v>421.75990000000007</v>
      </c>
      <c r="AH8" s="1085">
        <v>12.035063703128857</v>
      </c>
    </row>
    <row r="9" spans="2:34" ht="24" customHeight="1" x14ac:dyDescent="0.3">
      <c r="B9" s="157" t="s">
        <v>1486</v>
      </c>
      <c r="C9" s="1084">
        <f t="shared" si="2"/>
        <v>256.82623687399962</v>
      </c>
      <c r="D9" s="1084">
        <f t="shared" si="3"/>
        <v>18.613294453833863</v>
      </c>
      <c r="E9" s="1084">
        <f t="shared" si="4"/>
        <v>0</v>
      </c>
      <c r="F9" s="1084">
        <f t="shared" si="5"/>
        <v>0</v>
      </c>
      <c r="G9" s="1084">
        <f t="shared" si="6"/>
        <v>431.8371908221103</v>
      </c>
      <c r="H9" s="1084">
        <f t="shared" si="7"/>
        <v>31.29708586911946</v>
      </c>
      <c r="I9" s="1084">
        <f t="shared" si="8"/>
        <v>40.869270054474619</v>
      </c>
      <c r="J9" s="1084">
        <f t="shared" si="9"/>
        <v>2.9619705793937254</v>
      </c>
      <c r="K9" s="1084">
        <f t="shared" si="10"/>
        <v>885.43149461487667</v>
      </c>
      <c r="L9" s="1084">
        <f t="shared" si="11"/>
        <v>64.171002653636521</v>
      </c>
      <c r="M9" s="1084">
        <f t="shared" si="12"/>
        <v>32.180336575360258</v>
      </c>
      <c r="N9" s="1084">
        <f t="shared" si="0"/>
        <v>2.33224645422237</v>
      </c>
      <c r="Q9" s="62" t="s">
        <v>1521</v>
      </c>
      <c r="R9" s="39">
        <v>13798</v>
      </c>
      <c r="S9" s="4">
        <f t="shared" si="1"/>
        <v>13798000</v>
      </c>
      <c r="T9" s="43"/>
      <c r="U9" s="159" t="s">
        <v>1487</v>
      </c>
      <c r="V9" s="1085">
        <v>1786.5202657553375</v>
      </c>
      <c r="W9" s="1085">
        <v>256.82623687399962</v>
      </c>
      <c r="X9" s="1085">
        <v>0</v>
      </c>
      <c r="Y9" s="1085">
        <v>431.8371908221103</v>
      </c>
      <c r="Z9" s="1085">
        <v>40.869270054474619</v>
      </c>
      <c r="AA9" s="1085">
        <v>885.43149461487667</v>
      </c>
      <c r="AB9" s="1085">
        <v>0</v>
      </c>
      <c r="AC9" s="1085">
        <v>32.180336575360258</v>
      </c>
      <c r="AD9" s="1085">
        <v>4.5041341159663864</v>
      </c>
      <c r="AE9" s="1085">
        <v>9.7377746874757793</v>
      </c>
      <c r="AF9" s="1085">
        <v>41.124561000000007</v>
      </c>
      <c r="AG9" s="1085">
        <v>77.132519999999985</v>
      </c>
      <c r="AH9" s="1085">
        <v>6.8767470110738005</v>
      </c>
    </row>
    <row r="10" spans="2:34" ht="24" customHeight="1" x14ac:dyDescent="0.3">
      <c r="B10" s="157" t="s">
        <v>1488</v>
      </c>
      <c r="C10" s="1084">
        <f t="shared" si="2"/>
        <v>10.476405207000001</v>
      </c>
      <c r="D10" s="1084">
        <f t="shared" si="3"/>
        <v>34.461859233552637</v>
      </c>
      <c r="E10" s="1084">
        <f t="shared" si="4"/>
        <v>0</v>
      </c>
      <c r="F10" s="1084">
        <f t="shared" si="5"/>
        <v>0</v>
      </c>
      <c r="G10" s="1084">
        <f t="shared" si="6"/>
        <v>23.65633183557761</v>
      </c>
      <c r="H10" s="1084">
        <f t="shared" si="7"/>
        <v>77.816881038084247</v>
      </c>
      <c r="I10" s="1084">
        <f t="shared" si="8"/>
        <v>48.888724793774301</v>
      </c>
      <c r="J10" s="1299">
        <f t="shared" si="9"/>
        <v>160.81817366373124</v>
      </c>
      <c r="K10" s="1084">
        <f t="shared" si="10"/>
        <v>102.31399808925619</v>
      </c>
      <c r="L10" s="1084">
        <f t="shared" si="11"/>
        <v>336.55920424097428</v>
      </c>
      <c r="M10" s="1084">
        <f t="shared" si="12"/>
        <v>3.1114751111051615</v>
      </c>
      <c r="N10" s="1084">
        <f t="shared" si="0"/>
        <v>10.235115497056452</v>
      </c>
      <c r="Q10" s="59" t="s">
        <v>1488</v>
      </c>
      <c r="R10" s="39">
        <v>304</v>
      </c>
      <c r="S10" s="4">
        <f t="shared" si="1"/>
        <v>304000</v>
      </c>
      <c r="T10" s="43"/>
      <c r="U10" s="39" t="s">
        <v>1488</v>
      </c>
      <c r="V10" s="1085">
        <v>215.9671924419147</v>
      </c>
      <c r="W10" s="1085">
        <v>10.476405207000001</v>
      </c>
      <c r="X10" s="1085">
        <v>0</v>
      </c>
      <c r="Y10" s="1085">
        <v>23.65633183557761</v>
      </c>
      <c r="Z10" s="1085">
        <v>48.888724793774301</v>
      </c>
      <c r="AA10" s="1085">
        <v>102.31399808925619</v>
      </c>
      <c r="AB10" s="1085">
        <v>1.7064846416382253E-2</v>
      </c>
      <c r="AC10" s="1085">
        <v>3.1114751111051615</v>
      </c>
      <c r="AD10" s="1085">
        <v>0</v>
      </c>
      <c r="AE10" s="1085">
        <v>0.32127248035368011</v>
      </c>
      <c r="AF10" s="1085">
        <v>26.931723999999996</v>
      </c>
      <c r="AG10" s="1085">
        <v>0</v>
      </c>
      <c r="AH10" s="1085">
        <v>0.25019607843137259</v>
      </c>
    </row>
    <row r="11" spans="2:34" ht="24" customHeight="1" x14ac:dyDescent="0.3">
      <c r="B11" s="157" t="s">
        <v>645</v>
      </c>
      <c r="C11" s="1084">
        <f t="shared" si="2"/>
        <v>1073.8933903400034</v>
      </c>
      <c r="D11" s="1084">
        <f t="shared" si="3"/>
        <v>34.505924758691712</v>
      </c>
      <c r="E11" s="1084">
        <f t="shared" si="4"/>
        <v>78.485669999999999</v>
      </c>
      <c r="F11" s="1084">
        <f t="shared" si="5"/>
        <v>2.5218710237131288</v>
      </c>
      <c r="G11" s="1084">
        <f t="shared" si="6"/>
        <v>1302.2900725494044</v>
      </c>
      <c r="H11" s="1084">
        <f t="shared" si="7"/>
        <v>41.844678123173459</v>
      </c>
      <c r="I11" s="1084">
        <f t="shared" si="8"/>
        <v>0.49683282490272374</v>
      </c>
      <c r="J11" s="1084">
        <f t="shared" si="9"/>
        <v>1.596403910104504E-2</v>
      </c>
      <c r="K11" s="1084">
        <f t="shared" si="10"/>
        <v>3406.7863012010616</v>
      </c>
      <c r="L11" s="1084">
        <f t="shared" si="11"/>
        <v>109.46553245938763</v>
      </c>
      <c r="M11" s="1084">
        <f t="shared" si="12"/>
        <v>111.34736748730212</v>
      </c>
      <c r="N11" s="1084">
        <f t="shared" si="0"/>
        <v>3.5777703067701987</v>
      </c>
      <c r="Q11" s="62" t="s">
        <v>645</v>
      </c>
      <c r="R11" s="39">
        <v>31122</v>
      </c>
      <c r="S11" s="4">
        <f t="shared" si="1"/>
        <v>31122000</v>
      </c>
      <c r="T11" s="43"/>
      <c r="U11" s="39" t="s">
        <v>645</v>
      </c>
      <c r="V11" s="1085">
        <v>6926.0132730249916</v>
      </c>
      <c r="W11" s="1085">
        <v>1073.8933903400034</v>
      </c>
      <c r="X11" s="1085">
        <v>78.485669999999999</v>
      </c>
      <c r="Y11" s="1085">
        <v>1302.2900725494044</v>
      </c>
      <c r="Z11" s="1085">
        <v>0.49683282490272374</v>
      </c>
      <c r="AA11" s="1085">
        <v>3406.7863012010616</v>
      </c>
      <c r="AB11" s="1085">
        <v>59.23801179180888</v>
      </c>
      <c r="AC11" s="1085">
        <v>111.34736748730212</v>
      </c>
      <c r="AD11" s="1085">
        <v>117.23652622406276</v>
      </c>
      <c r="AE11" s="1085">
        <v>49.177098533759413</v>
      </c>
      <c r="AF11" s="1085">
        <v>133.3480800000001</v>
      </c>
      <c r="AG11" s="1085">
        <v>437.18005999999991</v>
      </c>
      <c r="AH11" s="1085">
        <v>156.53386207268608</v>
      </c>
    </row>
    <row r="12" spans="2:34" ht="24" customHeight="1" x14ac:dyDescent="0.3">
      <c r="B12" s="157" t="s">
        <v>223</v>
      </c>
      <c r="C12" s="1084">
        <f t="shared" si="2"/>
        <v>1769.3369621800014</v>
      </c>
      <c r="D12" s="1084">
        <f t="shared" si="3"/>
        <v>21.376549017518442</v>
      </c>
      <c r="E12" s="1084">
        <f t="shared" si="4"/>
        <v>0.32401000000000002</v>
      </c>
      <c r="F12" s="1084">
        <f t="shared" si="5"/>
        <v>3.9145825782288275E-3</v>
      </c>
      <c r="G12" s="1084">
        <f t="shared" si="6"/>
        <v>2160.0572248659828</v>
      </c>
      <c r="H12" s="1084">
        <f t="shared" si="7"/>
        <v>26.097103115452253</v>
      </c>
      <c r="I12" s="1084">
        <f t="shared" si="8"/>
        <v>0.93385262256809276</v>
      </c>
      <c r="J12" s="1084">
        <f t="shared" si="9"/>
        <v>1.1282501178785705E-2</v>
      </c>
      <c r="K12" s="1084">
        <f t="shared" si="10"/>
        <v>6169.8235704746294</v>
      </c>
      <c r="L12" s="1084">
        <f t="shared" si="11"/>
        <v>74.541785314421034</v>
      </c>
      <c r="M12" s="1084">
        <f t="shared" si="12"/>
        <v>150.56724881987583</v>
      </c>
      <c r="N12" s="1084">
        <f t="shared" si="0"/>
        <v>1.8191041297556583</v>
      </c>
      <c r="Q12" s="62" t="s">
        <v>223</v>
      </c>
      <c r="R12" s="39">
        <v>82770</v>
      </c>
      <c r="S12" s="4">
        <f t="shared" si="1"/>
        <v>82770000</v>
      </c>
      <c r="T12" s="43"/>
      <c r="U12" s="39" t="s">
        <v>223</v>
      </c>
      <c r="V12" s="1085">
        <v>12096.62427937682</v>
      </c>
      <c r="W12" s="1085">
        <v>1769.3369621800014</v>
      </c>
      <c r="X12" s="1085">
        <v>0.32401000000000002</v>
      </c>
      <c r="Y12" s="1085">
        <v>2160.0572248659828</v>
      </c>
      <c r="Z12" s="1085">
        <v>0.93385262256809276</v>
      </c>
      <c r="AA12" s="1085">
        <v>6169.8235704746294</v>
      </c>
      <c r="AB12" s="1085">
        <v>46.037872764505082</v>
      </c>
      <c r="AC12" s="1085">
        <v>150.56724881987583</v>
      </c>
      <c r="AD12" s="1085">
        <v>65.260500999999962</v>
      </c>
      <c r="AE12" s="1085">
        <v>66.925070015577973</v>
      </c>
      <c r="AF12" s="1085">
        <v>210.43456000000018</v>
      </c>
      <c r="AG12" s="1085">
        <v>1367.2083299999993</v>
      </c>
      <c r="AH12" s="1085">
        <v>89.715076633679033</v>
      </c>
    </row>
    <row r="13" spans="2:34" ht="24" customHeight="1" x14ac:dyDescent="0.3">
      <c r="B13" s="157" t="s">
        <v>709</v>
      </c>
      <c r="C13" s="1084">
        <f t="shared" si="2"/>
        <v>4542.9306217739631</v>
      </c>
      <c r="D13" s="1084">
        <f t="shared" si="3"/>
        <v>18.89203811639787</v>
      </c>
      <c r="E13" s="1084">
        <f t="shared" si="4"/>
        <v>0.91868000000000005</v>
      </c>
      <c r="F13" s="1084">
        <f t="shared" si="5"/>
        <v>3.820383585341917E-3</v>
      </c>
      <c r="G13" s="1084">
        <f t="shared" si="6"/>
        <v>5157.8417251192777</v>
      </c>
      <c r="H13" s="1084">
        <f t="shared" si="7"/>
        <v>21.44918128449223</v>
      </c>
      <c r="I13" s="1084">
        <f t="shared" si="8"/>
        <v>1.3636193385213995</v>
      </c>
      <c r="J13" s="1084">
        <f t="shared" si="9"/>
        <v>5.670689399510119E-3</v>
      </c>
      <c r="K13" s="1084">
        <f t="shared" si="10"/>
        <v>10877.575579419057</v>
      </c>
      <c r="L13" s="1084">
        <f t="shared" si="11"/>
        <v>45.235023285506003</v>
      </c>
      <c r="M13" s="1084">
        <f t="shared" si="12"/>
        <v>328.8114960897484</v>
      </c>
      <c r="N13" s="1084">
        <f t="shared" si="0"/>
        <v>1.3673815064364006</v>
      </c>
      <c r="Q13" s="62" t="s">
        <v>709</v>
      </c>
      <c r="R13" s="39">
        <v>240468</v>
      </c>
      <c r="S13" s="4">
        <f t="shared" si="1"/>
        <v>240468000</v>
      </c>
      <c r="T13" s="43"/>
      <c r="U13" s="39" t="s">
        <v>709</v>
      </c>
      <c r="V13" s="1085">
        <v>22559.72497842892</v>
      </c>
      <c r="W13" s="1085">
        <v>4542.9306217739631</v>
      </c>
      <c r="X13" s="1085">
        <v>0.91868000000000005</v>
      </c>
      <c r="Y13" s="1085">
        <v>5157.8417251192777</v>
      </c>
      <c r="Z13" s="1085">
        <v>1.3636193385213995</v>
      </c>
      <c r="AA13" s="1085">
        <v>10877.575579419057</v>
      </c>
      <c r="AB13" s="1085">
        <v>153.77440964163827</v>
      </c>
      <c r="AC13" s="1085">
        <v>328.8114960897484</v>
      </c>
      <c r="AD13" s="1085">
        <v>119.42239311940304</v>
      </c>
      <c r="AE13" s="1085">
        <v>92.386185490658562</v>
      </c>
      <c r="AF13" s="1085">
        <v>845.28005200000041</v>
      </c>
      <c r="AG13" s="1085">
        <v>24.461580000000001</v>
      </c>
      <c r="AH13" s="1085">
        <v>414.95863643665416</v>
      </c>
    </row>
    <row r="14" spans="2:34" ht="24" customHeight="1" x14ac:dyDescent="0.3">
      <c r="B14" s="157" t="s">
        <v>757</v>
      </c>
      <c r="C14" s="1084">
        <f t="shared" si="2"/>
        <v>369.27013077400045</v>
      </c>
      <c r="D14" s="1084">
        <f t="shared" si="3"/>
        <v>31.099050932625939</v>
      </c>
      <c r="E14" s="1084">
        <f t="shared" si="4"/>
        <v>0</v>
      </c>
      <c r="F14" s="1084">
        <f t="shared" si="5"/>
        <v>0</v>
      </c>
      <c r="G14" s="1084">
        <f t="shared" si="6"/>
        <v>526.63414835577566</v>
      </c>
      <c r="H14" s="1084">
        <f t="shared" si="7"/>
        <v>44.351873703535091</v>
      </c>
      <c r="I14" s="1084">
        <f t="shared" si="8"/>
        <v>3.7019440856031096</v>
      </c>
      <c r="J14" s="1084">
        <f t="shared" si="9"/>
        <v>0.31176891406460416</v>
      </c>
      <c r="K14" s="1084">
        <f t="shared" si="10"/>
        <v>829.85638684297874</v>
      </c>
      <c r="L14" s="1084">
        <f t="shared" si="11"/>
        <v>69.88852845233103</v>
      </c>
      <c r="M14" s="1084">
        <f t="shared" si="12"/>
        <v>18.861706482919264</v>
      </c>
      <c r="N14" s="1084">
        <f t="shared" si="0"/>
        <v>1.5884879975508897</v>
      </c>
      <c r="Q14" s="62" t="s">
        <v>757</v>
      </c>
      <c r="R14" s="39">
        <v>11874</v>
      </c>
      <c r="S14" s="4">
        <f t="shared" si="1"/>
        <v>11874000</v>
      </c>
      <c r="T14" s="43"/>
      <c r="U14" s="39" t="s">
        <v>757</v>
      </c>
      <c r="V14" s="1085">
        <v>1964.6360720030732</v>
      </c>
      <c r="W14" s="1085">
        <v>369.27013077400045</v>
      </c>
      <c r="X14" s="1085">
        <v>0</v>
      </c>
      <c r="Y14" s="1085">
        <v>526.63414835577566</v>
      </c>
      <c r="Z14" s="1085">
        <v>3.7019440856031096</v>
      </c>
      <c r="AA14" s="1085">
        <v>829.85638684297874</v>
      </c>
      <c r="AB14" s="1085">
        <v>0</v>
      </c>
      <c r="AC14" s="1085">
        <v>18.861706482919264</v>
      </c>
      <c r="AD14" s="1085">
        <v>124.39090420222382</v>
      </c>
      <c r="AE14" s="1085">
        <v>18.954747688305247</v>
      </c>
      <c r="AF14" s="1085">
        <v>44.081177000000011</v>
      </c>
      <c r="AG14" s="1085">
        <v>16.98573</v>
      </c>
      <c r="AH14" s="1085">
        <v>11.899196571266557</v>
      </c>
    </row>
    <row r="15" spans="2:34" ht="24" customHeight="1" x14ac:dyDescent="0.3">
      <c r="B15" s="1557" t="s">
        <v>1489</v>
      </c>
      <c r="C15" s="1087">
        <f>SUM(C5:C14)</f>
        <v>10214.656692736966</v>
      </c>
      <c r="D15" s="1087">
        <f t="shared" si="3"/>
        <v>23.091797655107872</v>
      </c>
      <c r="E15" s="1087">
        <f>SUM(E5:E14)</f>
        <v>3418.7190400000004</v>
      </c>
      <c r="F15" s="1087">
        <f t="shared" si="5"/>
        <v>7.728538578049057</v>
      </c>
      <c r="G15" s="1087">
        <f>SUM(G5:G14)</f>
        <v>12738.185147422428</v>
      </c>
      <c r="H15" s="1087">
        <f t="shared" si="7"/>
        <v>28.79662065654443</v>
      </c>
      <c r="I15" s="1087">
        <f>SUM(I5:I14)</f>
        <v>100.67313993774309</v>
      </c>
      <c r="J15" s="1087">
        <f t="shared" si="9"/>
        <v>0.22758706892221792</v>
      </c>
      <c r="K15" s="1087">
        <f>SUM(K5:K14)</f>
        <v>28195.358161933334</v>
      </c>
      <c r="L15" s="1087">
        <f t="shared" si="11"/>
        <v>63.739930285821941</v>
      </c>
      <c r="M15" s="1087">
        <f>SUM(M5:M14)</f>
        <v>3279.9177390362333</v>
      </c>
      <c r="N15" s="1087">
        <f t="shared" si="0"/>
        <v>7.4147569549818764</v>
      </c>
      <c r="Q15" s="160" t="s">
        <v>1489</v>
      </c>
      <c r="R15" s="143">
        <f>+SUM(R5:R14)</f>
        <v>442350</v>
      </c>
      <c r="S15" s="4">
        <f t="shared" si="1"/>
        <v>442350000</v>
      </c>
      <c r="T15" s="43"/>
      <c r="V15" s="1088"/>
      <c r="W15" s="1088"/>
      <c r="X15" s="1088"/>
      <c r="Y15" s="1088"/>
      <c r="Z15" s="1088"/>
      <c r="AA15" s="1088"/>
      <c r="AB15" s="1088"/>
      <c r="AC15" s="1089"/>
      <c r="AD15" s="1088"/>
      <c r="AE15" s="1088"/>
      <c r="AF15" s="1088"/>
      <c r="AG15" s="1088"/>
      <c r="AH15" s="1088"/>
    </row>
    <row r="16" spans="2:34" ht="24" customHeight="1" x14ac:dyDescent="0.3">
      <c r="B16" s="157" t="s">
        <v>1490</v>
      </c>
      <c r="C16" s="1084">
        <f t="shared" ref="C16:C43" si="13">W16</f>
        <v>14.929258400000002</v>
      </c>
      <c r="D16" s="1084">
        <f t="shared" si="3"/>
        <v>36.862366419753094</v>
      </c>
      <c r="E16" s="1084">
        <f t="shared" ref="E16:E43" si="14">X16</f>
        <v>0</v>
      </c>
      <c r="F16" s="1084">
        <f t="shared" si="5"/>
        <v>0</v>
      </c>
      <c r="G16" s="1084">
        <f t="shared" ref="G16:G43" si="15">Y16</f>
        <v>23.91437598157334</v>
      </c>
      <c r="H16" s="1084">
        <f t="shared" si="7"/>
        <v>59.047841929810716</v>
      </c>
      <c r="I16" s="1084">
        <f t="shared" ref="I16:I43" si="16">Z16</f>
        <v>2.6771610894941636E-2</v>
      </c>
      <c r="J16" s="1084">
        <f t="shared" si="9"/>
        <v>6.6102742950473165E-2</v>
      </c>
      <c r="K16" s="1084">
        <f t="shared" ref="K16:K43" si="17">AA16</f>
        <v>176.43409119834709</v>
      </c>
      <c r="L16" s="1299">
        <f t="shared" si="11"/>
        <v>435.63973135394343</v>
      </c>
      <c r="M16" s="1084">
        <f t="shared" ref="M16:M43" si="18">AC16</f>
        <v>20.299959062028858</v>
      </c>
      <c r="N16" s="1084">
        <f t="shared" si="0"/>
        <v>50.123355708713234</v>
      </c>
      <c r="Q16" s="62" t="s">
        <v>1490</v>
      </c>
      <c r="R16" s="39">
        <v>405</v>
      </c>
      <c r="S16" s="4">
        <f t="shared" si="1"/>
        <v>405000</v>
      </c>
      <c r="T16" s="43"/>
      <c r="U16" s="39" t="s">
        <v>1490</v>
      </c>
      <c r="V16" s="1085">
        <v>243.14398910165025</v>
      </c>
      <c r="W16" s="1085">
        <v>14.929258400000002</v>
      </c>
      <c r="X16" s="1085">
        <v>0</v>
      </c>
      <c r="Y16" s="1085">
        <v>23.91437598157334</v>
      </c>
      <c r="Z16" s="1085">
        <v>2.6771610894941636E-2</v>
      </c>
      <c r="AA16" s="1085">
        <v>176.43409119834709</v>
      </c>
      <c r="AB16" s="1085">
        <v>0</v>
      </c>
      <c r="AC16" s="1085">
        <v>20.299959062028858</v>
      </c>
      <c r="AD16" s="1085">
        <v>9.9841001534919399E-2</v>
      </c>
      <c r="AE16" s="1085">
        <v>0.86043684727109548</v>
      </c>
      <c r="AF16" s="1085">
        <v>6.579254999999999</v>
      </c>
      <c r="AG16" s="1085">
        <v>0</v>
      </c>
      <c r="AH16" s="1085">
        <v>0</v>
      </c>
    </row>
    <row r="17" spans="2:34" ht="24" customHeight="1" x14ac:dyDescent="0.3">
      <c r="B17" s="157" t="s">
        <v>426</v>
      </c>
      <c r="C17" s="1084">
        <f t="shared" si="13"/>
        <v>1868.8367328939983</v>
      </c>
      <c r="D17" s="1084">
        <f t="shared" si="3"/>
        <v>14.328383510522954</v>
      </c>
      <c r="E17" s="1084">
        <f t="shared" si="14"/>
        <v>0</v>
      </c>
      <c r="F17" s="1084">
        <f t="shared" si="5"/>
        <v>0</v>
      </c>
      <c r="G17" s="1084">
        <f t="shared" si="15"/>
        <v>1256.8252457980986</v>
      </c>
      <c r="H17" s="1298">
        <f t="shared" si="7"/>
        <v>9.6360874176609386</v>
      </c>
      <c r="I17" s="1084">
        <f t="shared" si="16"/>
        <v>4.6568339610894904</v>
      </c>
      <c r="J17" s="1084">
        <f t="shared" si="9"/>
        <v>3.570397657798105E-2</v>
      </c>
      <c r="K17" s="1084">
        <f t="shared" si="17"/>
        <v>2532.6231842900875</v>
      </c>
      <c r="L17" s="1298">
        <f t="shared" si="11"/>
        <v>19.417638594868375</v>
      </c>
      <c r="M17" s="1084">
        <f t="shared" si="18"/>
        <v>72.950866779671387</v>
      </c>
      <c r="N17" s="1084">
        <f t="shared" si="0"/>
        <v>0.55931477493250259</v>
      </c>
      <c r="Q17" s="62" t="s">
        <v>426</v>
      </c>
      <c r="R17" s="39">
        <v>130429</v>
      </c>
      <c r="S17" s="4">
        <f t="shared" si="1"/>
        <v>130429000</v>
      </c>
      <c r="T17" s="43"/>
      <c r="U17" s="39" t="s">
        <v>426</v>
      </c>
      <c r="V17" s="1085">
        <v>6403.1485424689963</v>
      </c>
      <c r="W17" s="1085">
        <v>1868.8367328939983</v>
      </c>
      <c r="X17" s="1085">
        <v>0</v>
      </c>
      <c r="Y17" s="1085">
        <v>1256.8252457980986</v>
      </c>
      <c r="Z17" s="1085">
        <v>4.6568339610894904</v>
      </c>
      <c r="AA17" s="1085">
        <v>2532.6231842900875</v>
      </c>
      <c r="AB17" s="1085">
        <v>49.900383139931762</v>
      </c>
      <c r="AC17" s="1085">
        <v>72.950866779671387</v>
      </c>
      <c r="AD17" s="1085">
        <v>33.61473014389869</v>
      </c>
      <c r="AE17" s="1085">
        <v>16.252327568974884</v>
      </c>
      <c r="AF17" s="1085">
        <v>312.4942669999997</v>
      </c>
      <c r="AG17" s="1085">
        <v>237.42007999999998</v>
      </c>
      <c r="AH17" s="1085">
        <v>17.573890893246176</v>
      </c>
    </row>
    <row r="18" spans="2:34" ht="24" customHeight="1" x14ac:dyDescent="0.3">
      <c r="B18" s="157" t="s">
        <v>541</v>
      </c>
      <c r="C18" s="1084">
        <f t="shared" si="13"/>
        <v>493.43951973299954</v>
      </c>
      <c r="D18" s="1084">
        <f t="shared" si="3"/>
        <v>12.195435598057378</v>
      </c>
      <c r="E18" s="1084">
        <f t="shared" si="14"/>
        <v>3.5991899999999997</v>
      </c>
      <c r="F18" s="1084">
        <f t="shared" si="5"/>
        <v>8.8954548824794241E-2</v>
      </c>
      <c r="G18" s="1084">
        <f t="shared" si="15"/>
        <v>821.0047675993618</v>
      </c>
      <c r="H18" s="1084">
        <f t="shared" si="7"/>
        <v>20.291262390928594</v>
      </c>
      <c r="I18" s="1084">
        <f t="shared" si="16"/>
        <v>3.0871711128404633</v>
      </c>
      <c r="J18" s="1084">
        <f t="shared" si="9"/>
        <v>7.6299921228849085E-2</v>
      </c>
      <c r="K18" s="1084">
        <f t="shared" si="17"/>
        <v>2087.4651909006188</v>
      </c>
      <c r="L18" s="1084">
        <f t="shared" si="11"/>
        <v>51.592031608230613</v>
      </c>
      <c r="M18" s="1084">
        <f t="shared" si="18"/>
        <v>41.034472555418695</v>
      </c>
      <c r="N18" s="1084">
        <f t="shared" si="0"/>
        <v>1.0141734647047451</v>
      </c>
      <c r="Q18" s="62" t="s">
        <v>541</v>
      </c>
      <c r="R18" s="39">
        <v>40461</v>
      </c>
      <c r="S18" s="4">
        <f t="shared" si="1"/>
        <v>40461000</v>
      </c>
      <c r="T18" s="43"/>
      <c r="U18" s="39" t="s">
        <v>541</v>
      </c>
      <c r="V18" s="1085">
        <v>4121.7613932755203</v>
      </c>
      <c r="W18" s="1085">
        <v>493.43951973299954</v>
      </c>
      <c r="X18" s="1085">
        <v>3.5991899999999997</v>
      </c>
      <c r="Y18" s="1085">
        <v>821.0047675993618</v>
      </c>
      <c r="Z18" s="1085">
        <v>3.0871711128404633</v>
      </c>
      <c r="AA18" s="1085">
        <v>2087.4651909006188</v>
      </c>
      <c r="AB18" s="1085">
        <v>73.099468011945362</v>
      </c>
      <c r="AC18" s="1085">
        <v>41.034472555418695</v>
      </c>
      <c r="AD18" s="1085">
        <v>90.313472260168894</v>
      </c>
      <c r="AE18" s="1085">
        <v>41.266182975064709</v>
      </c>
      <c r="AF18" s="1085">
        <v>280.32500900000002</v>
      </c>
      <c r="AG18" s="1085">
        <v>139.19360000000003</v>
      </c>
      <c r="AH18" s="1085">
        <v>47.933349127101607</v>
      </c>
    </row>
    <row r="19" spans="2:34" ht="24" customHeight="1" x14ac:dyDescent="0.3">
      <c r="B19" s="157" t="s">
        <v>631</v>
      </c>
      <c r="C19" s="1084">
        <f t="shared" si="13"/>
        <v>822.78104794500211</v>
      </c>
      <c r="D19" s="1084">
        <f t="shared" si="3"/>
        <v>18.469539551607301</v>
      </c>
      <c r="E19" s="1084">
        <f t="shared" si="14"/>
        <v>0.16486999999999999</v>
      </c>
      <c r="F19" s="1084">
        <f t="shared" si="5"/>
        <v>3.7009517823471307E-3</v>
      </c>
      <c r="G19" s="1084">
        <f t="shared" si="15"/>
        <v>1244.6960996556134</v>
      </c>
      <c r="H19" s="1084">
        <f t="shared" si="7"/>
        <v>27.940560735737034</v>
      </c>
      <c r="I19" s="1084">
        <f t="shared" si="16"/>
        <v>6.2226817976653628</v>
      </c>
      <c r="J19" s="1084">
        <f t="shared" si="9"/>
        <v>0.13968487468944427</v>
      </c>
      <c r="K19" s="1084">
        <f t="shared" si="17"/>
        <v>3448.4690729749127</v>
      </c>
      <c r="L19" s="1084">
        <f t="shared" si="11"/>
        <v>77.410188402956649</v>
      </c>
      <c r="M19" s="1084">
        <f t="shared" si="18"/>
        <v>101.40521616004497</v>
      </c>
      <c r="N19" s="1084">
        <f t="shared" si="0"/>
        <v>2.2763135530224696</v>
      </c>
      <c r="Q19" s="62" t="s">
        <v>631</v>
      </c>
      <c r="R19" s="39">
        <v>44548</v>
      </c>
      <c r="S19" s="4">
        <f t="shared" si="1"/>
        <v>44548000</v>
      </c>
      <c r="T19" s="43"/>
      <c r="U19" s="39" t="s">
        <v>631</v>
      </c>
      <c r="V19" s="1085">
        <v>7903.9145818011939</v>
      </c>
      <c r="W19" s="1085">
        <v>822.78104794500211</v>
      </c>
      <c r="X19" s="1085">
        <v>0.16486999999999999</v>
      </c>
      <c r="Y19" s="1085">
        <v>1244.6960996556134</v>
      </c>
      <c r="Z19" s="1085">
        <v>6.2226817976653628</v>
      </c>
      <c r="AA19" s="1085">
        <v>3448.4690729749127</v>
      </c>
      <c r="AB19" s="1085">
        <v>54.155827704778183</v>
      </c>
      <c r="AC19" s="1085">
        <v>101.40521616004497</v>
      </c>
      <c r="AD19" s="1085">
        <v>951.31302565291605</v>
      </c>
      <c r="AE19" s="1085">
        <v>35.228466552901338</v>
      </c>
      <c r="AF19" s="1085">
        <v>166.33828400000007</v>
      </c>
      <c r="AG19" s="1085">
        <v>738.72948000000019</v>
      </c>
      <c r="AH19" s="1085">
        <v>334.41050935736041</v>
      </c>
    </row>
    <row r="20" spans="2:34" ht="24" customHeight="1" x14ac:dyDescent="0.3">
      <c r="B20" s="157" t="s">
        <v>225</v>
      </c>
      <c r="C20" s="1084">
        <f t="shared" si="13"/>
        <v>2389.6139865070013</v>
      </c>
      <c r="D20" s="1084">
        <f t="shared" si="3"/>
        <v>23.886107699836082</v>
      </c>
      <c r="E20" s="1084">
        <f t="shared" si="14"/>
        <v>675.24802699999975</v>
      </c>
      <c r="F20" s="1084">
        <f t="shared" si="5"/>
        <v>6.7496454189240493</v>
      </c>
      <c r="G20" s="1084">
        <f t="shared" si="15"/>
        <v>1480.0229848481724</v>
      </c>
      <c r="H20" s="1084">
        <f t="shared" si="7"/>
        <v>14.794016361609849</v>
      </c>
      <c r="I20" s="1084">
        <f t="shared" si="16"/>
        <v>191.44140561089566</v>
      </c>
      <c r="J20" s="1084">
        <f t="shared" si="9"/>
        <v>1.9136103397662547</v>
      </c>
      <c r="K20" s="1084">
        <f t="shared" si="17"/>
        <v>3566.810335941303</v>
      </c>
      <c r="L20" s="1084">
        <f t="shared" si="11"/>
        <v>35.653129045214044</v>
      </c>
      <c r="M20" s="1084">
        <f t="shared" si="18"/>
        <v>410.10360697292936</v>
      </c>
      <c r="N20" s="1084">
        <f t="shared" si="0"/>
        <v>4.0993143576990603</v>
      </c>
      <c r="Q20" s="62" t="s">
        <v>225</v>
      </c>
      <c r="R20" s="39">
        <v>100042</v>
      </c>
      <c r="S20" s="4">
        <f t="shared" si="1"/>
        <v>100042000</v>
      </c>
      <c r="T20" s="43"/>
      <c r="U20" s="39" t="s">
        <v>225</v>
      </c>
      <c r="V20" s="1085">
        <v>10342.211982176812</v>
      </c>
      <c r="W20" s="1085">
        <v>2389.6139865070013</v>
      </c>
      <c r="X20" s="1085">
        <v>675.24802699999975</v>
      </c>
      <c r="Y20" s="1085">
        <v>1480.0229848481724</v>
      </c>
      <c r="Z20" s="1085">
        <v>191.44140561089566</v>
      </c>
      <c r="AA20" s="1085">
        <v>3566.810335941303</v>
      </c>
      <c r="AB20" s="1085">
        <v>65.756700853242364</v>
      </c>
      <c r="AC20" s="1085">
        <v>410.10360697292936</v>
      </c>
      <c r="AD20" s="1085">
        <v>219.42584892363766</v>
      </c>
      <c r="AE20" s="1085">
        <v>128.11009589074123</v>
      </c>
      <c r="AF20" s="1085">
        <v>229.04977700000009</v>
      </c>
      <c r="AG20" s="1085">
        <v>424.52163000000013</v>
      </c>
      <c r="AH20" s="1085">
        <v>562.10758262889146</v>
      </c>
    </row>
    <row r="21" spans="2:34" ht="24" customHeight="1" x14ac:dyDescent="0.3">
      <c r="B21" s="1086" t="s">
        <v>1491</v>
      </c>
      <c r="C21" s="1087">
        <f>SUM(C16:C20)</f>
        <v>5589.6005454790011</v>
      </c>
      <c r="D21" s="1087">
        <f t="shared" si="3"/>
        <v>17.69504897503522</v>
      </c>
      <c r="E21" s="1087">
        <f>SUM(E16:E20)</f>
        <v>679.01208699999972</v>
      </c>
      <c r="F21" s="1087">
        <f t="shared" si="5"/>
        <v>2.1495547018693504</v>
      </c>
      <c r="G21" s="1087">
        <f>SUM(G16:G20)</f>
        <v>4826.463473882819</v>
      </c>
      <c r="H21" s="1087">
        <f t="shared" si="7"/>
        <v>15.279179048966611</v>
      </c>
      <c r="I21" s="1087">
        <f>SUM(I16:I20)</f>
        <v>205.43486409338593</v>
      </c>
      <c r="J21" s="1087">
        <f t="shared" si="9"/>
        <v>0.65034700632630837</v>
      </c>
      <c r="K21" s="1087">
        <f>SUM(K16:K20)</f>
        <v>11811.801875305269</v>
      </c>
      <c r="L21" s="1087">
        <f t="shared" si="11"/>
        <v>37.392727971588613</v>
      </c>
      <c r="M21" s="1087">
        <f>SUM(M16:M20)</f>
        <v>645.79412153009321</v>
      </c>
      <c r="N21" s="1087">
        <f t="shared" si="0"/>
        <v>2.0443962883014173</v>
      </c>
      <c r="Q21" s="160" t="s">
        <v>1491</v>
      </c>
      <c r="R21" s="143">
        <f>+SUM(R16:R20)</f>
        <v>315885</v>
      </c>
      <c r="S21" s="4">
        <f t="shared" si="1"/>
        <v>315885000</v>
      </c>
      <c r="T21" s="43"/>
      <c r="V21" s="1088"/>
      <c r="W21" s="1088"/>
      <c r="X21" s="1088"/>
      <c r="Y21" s="1088"/>
      <c r="Z21" s="1088"/>
      <c r="AA21" s="1088"/>
      <c r="AB21" s="1088"/>
      <c r="AC21" s="1089"/>
      <c r="AD21" s="1088"/>
      <c r="AE21" s="1088"/>
      <c r="AF21" s="1088"/>
      <c r="AG21" s="1088"/>
      <c r="AH21" s="1088"/>
    </row>
    <row r="22" spans="2:34" ht="24" customHeight="1" x14ac:dyDescent="0.3">
      <c r="B22" s="157" t="s">
        <v>220</v>
      </c>
      <c r="C22" s="1084">
        <f t="shared" si="13"/>
        <v>30.998496500000027</v>
      </c>
      <c r="D22" s="1084">
        <f t="shared" si="3"/>
        <v>19.495909748427689</v>
      </c>
      <c r="E22" s="1084">
        <f t="shared" si="14"/>
        <v>0</v>
      </c>
      <c r="F22" s="1084">
        <f t="shared" si="5"/>
        <v>0</v>
      </c>
      <c r="G22" s="1084">
        <f t="shared" si="15"/>
        <v>101.06115525159466</v>
      </c>
      <c r="H22" s="1084">
        <f t="shared" si="7"/>
        <v>63.560475001002921</v>
      </c>
      <c r="I22" s="1084">
        <f t="shared" si="16"/>
        <v>9.6964947548638012</v>
      </c>
      <c r="J22" s="1084">
        <f t="shared" si="9"/>
        <v>6.0984243741281761</v>
      </c>
      <c r="K22" s="1084">
        <f t="shared" si="17"/>
        <v>281.62433109917407</v>
      </c>
      <c r="L22" s="1084">
        <f t="shared" si="11"/>
        <v>177.12222081709058</v>
      </c>
      <c r="M22" s="1084">
        <f t="shared" si="18"/>
        <v>5.4765568400621136</v>
      </c>
      <c r="N22" s="1084">
        <f t="shared" si="0"/>
        <v>3.4443753711082477</v>
      </c>
      <c r="Q22" s="62" t="s">
        <v>220</v>
      </c>
      <c r="R22" s="39">
        <v>1590</v>
      </c>
      <c r="S22" s="4">
        <f t="shared" si="1"/>
        <v>1590000</v>
      </c>
      <c r="T22" s="43"/>
      <c r="U22" s="39" t="s">
        <v>220</v>
      </c>
      <c r="V22" s="1085">
        <v>441.55726290338447</v>
      </c>
      <c r="W22" s="1085">
        <v>30.998496500000027</v>
      </c>
      <c r="X22" s="1085">
        <v>0</v>
      </c>
      <c r="Y22" s="1085">
        <v>101.06115525159466</v>
      </c>
      <c r="Z22" s="1085">
        <v>9.6964947548638012</v>
      </c>
      <c r="AA22" s="1085">
        <v>281.62433109917407</v>
      </c>
      <c r="AB22" s="1085">
        <v>0</v>
      </c>
      <c r="AC22" s="1085">
        <v>5.4765568400621136</v>
      </c>
      <c r="AD22" s="1085">
        <v>0</v>
      </c>
      <c r="AE22" s="1085">
        <v>0.75572104265709106</v>
      </c>
      <c r="AF22" s="1085">
        <v>11.667133999999995</v>
      </c>
      <c r="AG22" s="1085">
        <v>0</v>
      </c>
      <c r="AH22" s="1085">
        <v>0.27737341503267965</v>
      </c>
    </row>
    <row r="23" spans="2:34" ht="24" customHeight="1" x14ac:dyDescent="0.3">
      <c r="B23" s="157" t="s">
        <v>331</v>
      </c>
      <c r="C23" s="1084">
        <f t="shared" si="13"/>
        <v>646.13280518999977</v>
      </c>
      <c r="D23" s="1084">
        <f t="shared" si="3"/>
        <v>17.7596835025562</v>
      </c>
      <c r="E23" s="1084">
        <f t="shared" si="14"/>
        <v>210.49029400000001</v>
      </c>
      <c r="F23" s="1084">
        <f t="shared" si="5"/>
        <v>5.785561376504865</v>
      </c>
      <c r="G23" s="1084">
        <f t="shared" si="15"/>
        <v>763.20092316063108</v>
      </c>
      <c r="H23" s="1084">
        <f t="shared" si="7"/>
        <v>20.9774317838665</v>
      </c>
      <c r="I23" s="1084">
        <f t="shared" si="16"/>
        <v>3.604088389105053</v>
      </c>
      <c r="J23" s="1084">
        <f t="shared" si="9"/>
        <v>9.9062404186274891E-2</v>
      </c>
      <c r="K23" s="1084">
        <f t="shared" si="17"/>
        <v>1280.8300821010932</v>
      </c>
      <c r="L23" s="1084">
        <f t="shared" si="11"/>
        <v>35.205048708182424</v>
      </c>
      <c r="M23" s="1084">
        <f t="shared" si="18"/>
        <v>139.52725175657071</v>
      </c>
      <c r="N23" s="1084">
        <f t="shared" si="0"/>
        <v>3.8350627166337943</v>
      </c>
      <c r="Q23" s="62" t="s">
        <v>331</v>
      </c>
      <c r="R23" s="39">
        <v>36382</v>
      </c>
      <c r="S23" s="4">
        <f t="shared" si="1"/>
        <v>36382000</v>
      </c>
      <c r="T23" s="43"/>
      <c r="U23" s="39" t="s">
        <v>331</v>
      </c>
      <c r="V23" s="1085">
        <v>3338.8550834905959</v>
      </c>
      <c r="W23" s="1085">
        <v>646.13280518999977</v>
      </c>
      <c r="X23" s="1085">
        <v>210.49029400000001</v>
      </c>
      <c r="Y23" s="1085">
        <v>763.20092316063108</v>
      </c>
      <c r="Z23" s="1085">
        <v>3.604088389105053</v>
      </c>
      <c r="AA23" s="1085">
        <v>1280.8300821010932</v>
      </c>
      <c r="AB23" s="1085">
        <v>2.9428400511945387</v>
      </c>
      <c r="AC23" s="1085">
        <v>139.52725175657071</v>
      </c>
      <c r="AD23" s="1085">
        <v>4.52615637950883</v>
      </c>
      <c r="AE23" s="1085">
        <v>55.797802242516937</v>
      </c>
      <c r="AF23" s="1085">
        <v>48.978830000000002</v>
      </c>
      <c r="AG23" s="1085">
        <v>133.25069999999999</v>
      </c>
      <c r="AH23" s="1085">
        <v>49.573310219975646</v>
      </c>
    </row>
    <row r="24" spans="2:34" ht="24" customHeight="1" x14ac:dyDescent="0.3">
      <c r="B24" s="157" t="s">
        <v>1492</v>
      </c>
      <c r="C24" s="1084">
        <f t="shared" si="13"/>
        <v>53.49804360000001</v>
      </c>
      <c r="D24" s="1084">
        <f t="shared" si="3"/>
        <v>16.300439853747719</v>
      </c>
      <c r="E24" s="1084">
        <f t="shared" si="14"/>
        <v>0</v>
      </c>
      <c r="F24" s="1084">
        <f t="shared" si="5"/>
        <v>0</v>
      </c>
      <c r="G24" s="1084">
        <f t="shared" si="15"/>
        <v>93.525375768958156</v>
      </c>
      <c r="H24" s="1084">
        <f t="shared" si="7"/>
        <v>28.496458186763604</v>
      </c>
      <c r="I24" s="1084">
        <f t="shared" si="16"/>
        <v>2.4778194708171197</v>
      </c>
      <c r="J24" s="1084">
        <f t="shared" si="9"/>
        <v>0.75497241645859825</v>
      </c>
      <c r="K24" s="1084">
        <f t="shared" si="17"/>
        <v>142.48203249586786</v>
      </c>
      <c r="L24" s="1084">
        <f t="shared" si="11"/>
        <v>43.413172606906727</v>
      </c>
      <c r="M24" s="1084">
        <f t="shared" si="18"/>
        <v>11.935132259316772</v>
      </c>
      <c r="N24" s="1084">
        <f t="shared" si="0"/>
        <v>3.6365424312360672</v>
      </c>
      <c r="Q24" s="62" t="s">
        <v>1492</v>
      </c>
      <c r="R24" s="39">
        <v>3282</v>
      </c>
      <c r="S24" s="4">
        <f t="shared" si="1"/>
        <v>3282000</v>
      </c>
      <c r="T24" s="43"/>
      <c r="U24" s="39" t="s">
        <v>1492</v>
      </c>
      <c r="V24" s="1085">
        <v>311.16829201886435</v>
      </c>
      <c r="W24" s="1085">
        <v>53.49804360000001</v>
      </c>
      <c r="X24" s="1085">
        <v>0</v>
      </c>
      <c r="Y24" s="1085">
        <v>93.525375768958156</v>
      </c>
      <c r="Z24" s="1085">
        <v>2.4778194708171197</v>
      </c>
      <c r="AA24" s="1085">
        <v>142.48203249586786</v>
      </c>
      <c r="AB24" s="1085">
        <v>0.22184300341296931</v>
      </c>
      <c r="AC24" s="1085">
        <v>11.935132259316772</v>
      </c>
      <c r="AD24" s="1085">
        <v>2.2049999999999997E-2</v>
      </c>
      <c r="AE24" s="1085">
        <v>0.45159806101436251</v>
      </c>
      <c r="AF24" s="1085">
        <v>6.1518490000000012</v>
      </c>
      <c r="AG24" s="1085">
        <v>0</v>
      </c>
      <c r="AH24" s="1085">
        <v>0.40254835947712414</v>
      </c>
    </row>
    <row r="25" spans="2:34" ht="24" customHeight="1" x14ac:dyDescent="0.3">
      <c r="B25" s="157" t="s">
        <v>1493</v>
      </c>
      <c r="C25" s="1084">
        <f t="shared" si="13"/>
        <v>38.37831912899987</v>
      </c>
      <c r="D25" s="1298">
        <f t="shared" si="3"/>
        <v>11.254639040762427</v>
      </c>
      <c r="E25" s="1084">
        <f t="shared" si="14"/>
        <v>0</v>
      </c>
      <c r="F25" s="1298">
        <f t="shared" si="5"/>
        <v>0</v>
      </c>
      <c r="G25" s="1084">
        <f t="shared" si="15"/>
        <v>157.79848700921346</v>
      </c>
      <c r="H25" s="1084">
        <f t="shared" si="7"/>
        <v>46.275216131734147</v>
      </c>
      <c r="I25" s="1084">
        <f t="shared" si="16"/>
        <v>1.5875611050583656</v>
      </c>
      <c r="J25" s="1084">
        <f t="shared" si="9"/>
        <v>0.46556044136608959</v>
      </c>
      <c r="K25" s="1084">
        <f t="shared" si="17"/>
        <v>413.50454822313986</v>
      </c>
      <c r="L25" s="1084">
        <f t="shared" si="11"/>
        <v>121.26233085722575</v>
      </c>
      <c r="M25" s="1084">
        <f t="shared" si="18"/>
        <v>1.1992623835403731</v>
      </c>
      <c r="N25" s="1084">
        <f t="shared" si="0"/>
        <v>0.35168984854556395</v>
      </c>
      <c r="Q25" s="62" t="s">
        <v>1493</v>
      </c>
      <c r="R25" s="39">
        <v>3410</v>
      </c>
      <c r="S25" s="4">
        <f t="shared" si="1"/>
        <v>3410000</v>
      </c>
      <c r="T25" s="43"/>
      <c r="U25" s="39" t="s">
        <v>1493</v>
      </c>
      <c r="V25" s="1085">
        <v>622.08401027521302</v>
      </c>
      <c r="W25" s="1085">
        <v>38.37831912899987</v>
      </c>
      <c r="X25" s="1085">
        <v>0</v>
      </c>
      <c r="Y25" s="1085">
        <v>157.79848700921346</v>
      </c>
      <c r="Z25" s="1085">
        <v>1.5875611050583656</v>
      </c>
      <c r="AA25" s="1085">
        <v>413.50454822313986</v>
      </c>
      <c r="AB25" s="1085">
        <v>0</v>
      </c>
      <c r="AC25" s="1085">
        <v>1.1992623835403731</v>
      </c>
      <c r="AD25" s="1085">
        <v>0.22831957981580966</v>
      </c>
      <c r="AE25" s="1085">
        <v>0.93324826156732543</v>
      </c>
      <c r="AF25" s="1085">
        <v>8.1103360000000002</v>
      </c>
      <c r="AG25" s="1085">
        <v>0.34358</v>
      </c>
      <c r="AH25" s="1085">
        <v>3.4858387799564274E-4</v>
      </c>
    </row>
    <row r="26" spans="2:34" ht="24" customHeight="1" x14ac:dyDescent="0.3">
      <c r="B26" s="157" t="s">
        <v>1494</v>
      </c>
      <c r="C26" s="1084">
        <f t="shared" si="13"/>
        <v>34.50031220000011</v>
      </c>
      <c r="D26" s="1084">
        <f t="shared" si="3"/>
        <v>27.359486280729666</v>
      </c>
      <c r="E26" s="1084">
        <f t="shared" si="14"/>
        <v>0</v>
      </c>
      <c r="F26" s="1084">
        <f t="shared" si="5"/>
        <v>0</v>
      </c>
      <c r="G26" s="1084">
        <f t="shared" si="15"/>
        <v>75.158556477675532</v>
      </c>
      <c r="H26" s="1084">
        <f t="shared" si="7"/>
        <v>59.602344550099545</v>
      </c>
      <c r="I26" s="1084">
        <f t="shared" si="16"/>
        <v>7.4709136186770428E-2</v>
      </c>
      <c r="J26" s="1084">
        <f t="shared" si="9"/>
        <v>5.9245944636614138E-2</v>
      </c>
      <c r="K26" s="1084">
        <f t="shared" si="17"/>
        <v>121.98314601652903</v>
      </c>
      <c r="L26" s="1084">
        <f t="shared" si="11"/>
        <v>96.735246642766882</v>
      </c>
      <c r="M26" s="1084">
        <f t="shared" si="18"/>
        <v>5.8178532996894416</v>
      </c>
      <c r="N26" s="1084">
        <f t="shared" si="0"/>
        <v>4.6136822360741014</v>
      </c>
      <c r="Q26" s="62" t="s">
        <v>1494</v>
      </c>
      <c r="R26" s="39">
        <v>1261</v>
      </c>
      <c r="S26" s="4">
        <f t="shared" si="1"/>
        <v>1261000</v>
      </c>
      <c r="T26" s="43"/>
      <c r="U26" s="39" t="s">
        <v>1494</v>
      </c>
      <c r="V26" s="1085">
        <v>244.41689900765073</v>
      </c>
      <c r="W26" s="1085">
        <v>34.50031220000011</v>
      </c>
      <c r="X26" s="1085">
        <v>0</v>
      </c>
      <c r="Y26" s="1085">
        <v>75.158556477675532</v>
      </c>
      <c r="Z26" s="1085">
        <v>7.4709136186770428E-2</v>
      </c>
      <c r="AA26" s="1085">
        <v>121.98314601652903</v>
      </c>
      <c r="AB26" s="1085">
        <v>0</v>
      </c>
      <c r="AC26" s="1085">
        <v>5.8178532996894416</v>
      </c>
      <c r="AD26" s="1085">
        <v>1.1511895625479662E-2</v>
      </c>
      <c r="AE26" s="1085">
        <v>0.40525798194434465</v>
      </c>
      <c r="AF26" s="1085">
        <v>6.4655519999999997</v>
      </c>
      <c r="AG26" s="1085">
        <v>0</v>
      </c>
      <c r="AH26" s="1085">
        <v>0</v>
      </c>
    </row>
    <row r="27" spans="2:34" ht="24" customHeight="1" x14ac:dyDescent="0.3">
      <c r="B27" s="157" t="s">
        <v>1495</v>
      </c>
      <c r="C27" s="1084">
        <f t="shared" si="13"/>
        <v>31.371234943000033</v>
      </c>
      <c r="D27" s="1084">
        <f t="shared" si="3"/>
        <v>13.795617828935811</v>
      </c>
      <c r="E27" s="1084">
        <f t="shared" si="14"/>
        <v>0</v>
      </c>
      <c r="F27" s="1084">
        <f t="shared" si="5"/>
        <v>0</v>
      </c>
      <c r="G27" s="1084">
        <f t="shared" si="15"/>
        <v>62.771600701630064</v>
      </c>
      <c r="H27" s="1084">
        <f t="shared" si="7"/>
        <v>27.604046042933184</v>
      </c>
      <c r="I27" s="1084">
        <f t="shared" si="16"/>
        <v>0.14941682490272373</v>
      </c>
      <c r="J27" s="1084">
        <f t="shared" si="9"/>
        <v>6.5706607257134439E-2</v>
      </c>
      <c r="K27" s="1084">
        <f t="shared" si="17"/>
        <v>130.00015159504136</v>
      </c>
      <c r="L27" s="1084">
        <f t="shared" si="11"/>
        <v>57.168052592366472</v>
      </c>
      <c r="M27" s="1084">
        <f t="shared" si="18"/>
        <v>8.2168664906832287</v>
      </c>
      <c r="N27" s="1084">
        <f t="shared" si="0"/>
        <v>3.6133977531588517</v>
      </c>
      <c r="Q27" s="62" t="s">
        <v>1495</v>
      </c>
      <c r="R27" s="39">
        <v>2274</v>
      </c>
      <c r="S27" s="4">
        <f t="shared" si="1"/>
        <v>2274000</v>
      </c>
      <c r="T27" s="43"/>
      <c r="U27" s="39" t="s">
        <v>1495</v>
      </c>
      <c r="V27" s="1085">
        <v>238.00183055326403</v>
      </c>
      <c r="W27" s="1085">
        <v>31.371234943000033</v>
      </c>
      <c r="X27" s="1085">
        <v>0</v>
      </c>
      <c r="Y27" s="1085">
        <v>62.771600701630064</v>
      </c>
      <c r="Z27" s="1085">
        <v>0.14941682490272373</v>
      </c>
      <c r="AA27" s="1085">
        <v>130.00015159504136</v>
      </c>
      <c r="AB27" s="1085">
        <v>7.6791902730375422E-2</v>
      </c>
      <c r="AC27" s="1085">
        <v>8.2168664906832287</v>
      </c>
      <c r="AD27" s="1085">
        <v>0</v>
      </c>
      <c r="AE27" s="1085">
        <v>0.6205703425529624</v>
      </c>
      <c r="AF27" s="1085">
        <v>4.6899689999999987</v>
      </c>
      <c r="AG27" s="1085">
        <v>0</v>
      </c>
      <c r="AH27" s="1085">
        <v>0.10522875272331156</v>
      </c>
    </row>
    <row r="28" spans="2:34" ht="24" customHeight="1" x14ac:dyDescent="0.3">
      <c r="B28" s="157" t="s">
        <v>1496</v>
      </c>
      <c r="C28" s="1084">
        <f t="shared" si="13"/>
        <v>22.525480856999984</v>
      </c>
      <c r="D28" s="1084">
        <f t="shared" si="3"/>
        <v>32.08757956837605</v>
      </c>
      <c r="E28" s="1084">
        <f t="shared" si="14"/>
        <v>0</v>
      </c>
      <c r="F28" s="1084">
        <f t="shared" si="5"/>
        <v>0</v>
      </c>
      <c r="G28" s="1084">
        <f t="shared" si="15"/>
        <v>31.452127930545711</v>
      </c>
      <c r="H28" s="1084">
        <f t="shared" si="7"/>
        <v>44.803601040663402</v>
      </c>
      <c r="I28" s="1084">
        <f t="shared" si="16"/>
        <v>8.082652350194552</v>
      </c>
      <c r="J28" s="1084">
        <f t="shared" si="9"/>
        <v>11.513749786601926</v>
      </c>
      <c r="K28" s="1084">
        <f t="shared" si="17"/>
        <v>90.471200743801688</v>
      </c>
      <c r="L28" s="1084">
        <f t="shared" si="11"/>
        <v>128.87635433589983</v>
      </c>
      <c r="M28" s="1084">
        <f t="shared" si="18"/>
        <v>0.21872324534161489</v>
      </c>
      <c r="N28" s="1084">
        <f t="shared" si="0"/>
        <v>0.311571574560705</v>
      </c>
      <c r="Q28" s="62" t="s">
        <v>1496</v>
      </c>
      <c r="R28" s="39">
        <v>702</v>
      </c>
      <c r="S28" s="4">
        <f t="shared" si="1"/>
        <v>702000</v>
      </c>
      <c r="T28" s="43"/>
      <c r="U28" s="39" t="s">
        <v>1496</v>
      </c>
      <c r="V28" s="1085">
        <v>158.0707879693943</v>
      </c>
      <c r="W28" s="1085">
        <v>22.525480856999984</v>
      </c>
      <c r="X28" s="1085">
        <v>0</v>
      </c>
      <c r="Y28" s="1085">
        <v>31.452127930545711</v>
      </c>
      <c r="Z28" s="1085">
        <v>8.082652350194552</v>
      </c>
      <c r="AA28" s="1085">
        <v>90.471200743801688</v>
      </c>
      <c r="AB28" s="1085">
        <v>2.9487996416382236</v>
      </c>
      <c r="AC28" s="1085">
        <v>0.21872324534161489</v>
      </c>
      <c r="AD28" s="1085">
        <v>0</v>
      </c>
      <c r="AE28" s="1085">
        <v>0.24534320087253153</v>
      </c>
      <c r="AF28" s="1085">
        <v>2.1264599999999994</v>
      </c>
      <c r="AG28" s="1085">
        <v>0</v>
      </c>
      <c r="AH28" s="1085">
        <v>0</v>
      </c>
    </row>
    <row r="29" spans="2:34" ht="24" customHeight="1" x14ac:dyDescent="0.3">
      <c r="B29" s="157" t="s">
        <v>390</v>
      </c>
      <c r="C29" s="1084">
        <f t="shared" si="13"/>
        <v>70.68183106500021</v>
      </c>
      <c r="D29" s="1084">
        <f t="shared" si="3"/>
        <v>16.741314795120843</v>
      </c>
      <c r="E29" s="1084">
        <f t="shared" si="14"/>
        <v>0</v>
      </c>
      <c r="F29" s="1084">
        <f t="shared" si="5"/>
        <v>0</v>
      </c>
      <c r="G29" s="1084">
        <f t="shared" si="15"/>
        <v>72.135472324592655</v>
      </c>
      <c r="H29" s="1084">
        <f t="shared" si="7"/>
        <v>17.085616372475762</v>
      </c>
      <c r="I29" s="1084">
        <f t="shared" si="16"/>
        <v>4.8218301089494116</v>
      </c>
      <c r="J29" s="1084">
        <f t="shared" si="9"/>
        <v>1.142072503303982</v>
      </c>
      <c r="K29" s="1084">
        <f t="shared" si="17"/>
        <v>122.1949084628102</v>
      </c>
      <c r="L29" s="1084">
        <f t="shared" si="11"/>
        <v>28.9424226581739</v>
      </c>
      <c r="M29" s="1084">
        <f t="shared" si="18"/>
        <v>15.130430978260874</v>
      </c>
      <c r="N29" s="1084">
        <f t="shared" si="0"/>
        <v>3.5837117428377248</v>
      </c>
      <c r="Q29" s="62" t="s">
        <v>390</v>
      </c>
      <c r="R29" s="39">
        <v>4222</v>
      </c>
      <c r="S29" s="4">
        <f t="shared" si="1"/>
        <v>4222000</v>
      </c>
      <c r="T29" s="43"/>
      <c r="U29" s="39" t="s">
        <v>390</v>
      </c>
      <c r="V29" s="1085">
        <v>290.36814961608866</v>
      </c>
      <c r="W29" s="1085">
        <v>70.68183106500021</v>
      </c>
      <c r="X29" s="1085">
        <v>0</v>
      </c>
      <c r="Y29" s="1085">
        <v>72.135472324592655</v>
      </c>
      <c r="Z29" s="1085">
        <v>4.8218301089494116</v>
      </c>
      <c r="AA29" s="1085">
        <v>122.1949084628102</v>
      </c>
      <c r="AB29" s="1085">
        <v>5.1194539249146756E-2</v>
      </c>
      <c r="AC29" s="1085">
        <v>15.130430978260874</v>
      </c>
      <c r="AD29" s="1085">
        <v>0</v>
      </c>
      <c r="AE29" s="1085">
        <v>1.077444508685816</v>
      </c>
      <c r="AF29" s="1085">
        <v>3.8669479999999994</v>
      </c>
      <c r="AG29" s="1085">
        <v>0</v>
      </c>
      <c r="AH29" s="1085">
        <v>0.40808962854030501</v>
      </c>
    </row>
    <row r="30" spans="2:34" ht="24" customHeight="1" x14ac:dyDescent="0.3">
      <c r="B30" s="1086" t="s">
        <v>1497</v>
      </c>
      <c r="C30" s="1087">
        <f>SUM(C22:C29)</f>
        <v>928.08652348399983</v>
      </c>
      <c r="D30" s="1087">
        <f t="shared" si="3"/>
        <v>17.470521685221087</v>
      </c>
      <c r="E30" s="1087">
        <f>SUM(E22:E29)</f>
        <v>210.49029400000001</v>
      </c>
      <c r="F30" s="1087">
        <f t="shared" si="5"/>
        <v>3.9623194096718937</v>
      </c>
      <c r="G30" s="1087">
        <f>SUM(G22:G29)</f>
        <v>1357.1036986248412</v>
      </c>
      <c r="H30" s="1087">
        <f t="shared" si="7"/>
        <v>25.546443134326775</v>
      </c>
      <c r="I30" s="1087">
        <f>SUM(I22:I29)</f>
        <v>30.4945721400778</v>
      </c>
      <c r="J30" s="1087">
        <f t="shared" si="9"/>
        <v>0.57403708638589312</v>
      </c>
      <c r="K30" s="1087">
        <f>SUM(K22:K29)</f>
        <v>2583.090400737457</v>
      </c>
      <c r="L30" s="1087">
        <f t="shared" si="11"/>
        <v>48.624708708797634</v>
      </c>
      <c r="M30" s="1087">
        <f>SUM(M22:M29)</f>
        <v>187.52207725346508</v>
      </c>
      <c r="N30" s="1087">
        <f t="shared" si="0"/>
        <v>3.5299602291562051</v>
      </c>
      <c r="Q30" s="160" t="s">
        <v>1497</v>
      </c>
      <c r="R30" s="161">
        <f>+SUM(R22:R29)</f>
        <v>53123</v>
      </c>
      <c r="S30" s="4">
        <f t="shared" si="1"/>
        <v>53123000</v>
      </c>
      <c r="T30" s="43"/>
      <c r="V30" s="1088"/>
      <c r="W30" s="1088"/>
      <c r="X30" s="1088"/>
      <c r="Y30" s="1088"/>
      <c r="Z30" s="1088"/>
      <c r="AA30" s="1088"/>
      <c r="AB30" s="1088"/>
      <c r="AC30" s="1089"/>
      <c r="AD30" s="1088"/>
      <c r="AE30" s="1088"/>
      <c r="AF30" s="1088"/>
      <c r="AG30" s="1088"/>
      <c r="AH30" s="1088"/>
    </row>
    <row r="31" spans="2:34" ht="24" customHeight="1" x14ac:dyDescent="0.3">
      <c r="B31" s="157" t="s">
        <v>452</v>
      </c>
      <c r="C31" s="1084">
        <f t="shared" si="13"/>
        <v>415.6543652910014</v>
      </c>
      <c r="D31" s="1084">
        <f t="shared" si="3"/>
        <v>13.465978724560255</v>
      </c>
      <c r="E31" s="1084">
        <f t="shared" si="14"/>
        <v>0</v>
      </c>
      <c r="F31" s="1084">
        <f t="shared" si="5"/>
        <v>0</v>
      </c>
      <c r="G31" s="1084">
        <f t="shared" si="15"/>
        <v>944.51358270075775</v>
      </c>
      <c r="H31" s="1084">
        <f t="shared" si="7"/>
        <v>30.599461648386878</v>
      </c>
      <c r="I31" s="1084">
        <f t="shared" si="16"/>
        <v>3.4876381789883242</v>
      </c>
      <c r="J31" s="1084">
        <f t="shared" si="9"/>
        <v>0.1129892175782656</v>
      </c>
      <c r="K31" s="1084">
        <f t="shared" si="17"/>
        <v>2407.8415376573339</v>
      </c>
      <c r="L31" s="1084">
        <f t="shared" si="11"/>
        <v>78.006982786060647</v>
      </c>
      <c r="M31" s="1084">
        <f t="shared" si="18"/>
        <v>36.382097826086962</v>
      </c>
      <c r="N31" s="1084">
        <f t="shared" si="0"/>
        <v>1.1786729460617151</v>
      </c>
      <c r="Q31" s="62" t="s">
        <v>452</v>
      </c>
      <c r="R31" s="39">
        <v>30867</v>
      </c>
      <c r="S31" s="4">
        <f t="shared" si="1"/>
        <v>30867000</v>
      </c>
      <c r="T31" s="43"/>
      <c r="U31" s="39" t="s">
        <v>452</v>
      </c>
      <c r="V31" s="1085">
        <v>4552.0145426681793</v>
      </c>
      <c r="W31" s="1085">
        <v>415.6543652910014</v>
      </c>
      <c r="X31" s="1085">
        <v>0</v>
      </c>
      <c r="Y31" s="1085">
        <v>944.51358270075775</v>
      </c>
      <c r="Z31" s="1085">
        <v>3.4876381789883242</v>
      </c>
      <c r="AA31" s="1085">
        <v>2407.8415376573339</v>
      </c>
      <c r="AB31" s="1085">
        <v>53.563481100682566</v>
      </c>
      <c r="AC31" s="1085">
        <v>36.382097826086962</v>
      </c>
      <c r="AD31" s="1085">
        <v>155.88485028340099</v>
      </c>
      <c r="AE31" s="1085">
        <v>30.001648571057562</v>
      </c>
      <c r="AF31" s="1085">
        <v>112.11680099999994</v>
      </c>
      <c r="AG31" s="1085">
        <v>352.39398999999992</v>
      </c>
      <c r="AH31" s="1085">
        <v>40.174550058870466</v>
      </c>
    </row>
    <row r="32" spans="2:34" ht="24" customHeight="1" x14ac:dyDescent="0.3">
      <c r="B32" s="157" t="s">
        <v>1498</v>
      </c>
      <c r="C32" s="1084">
        <f t="shared" si="13"/>
        <v>32.227988277999991</v>
      </c>
      <c r="D32" s="1084">
        <f t="shared" si="3"/>
        <v>22.25689798204419</v>
      </c>
      <c r="E32" s="1084">
        <f t="shared" si="14"/>
        <v>0</v>
      </c>
      <c r="F32" s="1084">
        <f t="shared" si="5"/>
        <v>0</v>
      </c>
      <c r="G32" s="1084">
        <f t="shared" si="15"/>
        <v>50.396691722182858</v>
      </c>
      <c r="H32" s="1084">
        <f t="shared" si="7"/>
        <v>34.804345112004732</v>
      </c>
      <c r="I32" s="1084">
        <f t="shared" si="16"/>
        <v>0</v>
      </c>
      <c r="J32" s="1084">
        <f t="shared" si="9"/>
        <v>0</v>
      </c>
      <c r="K32" s="1084">
        <f t="shared" si="17"/>
        <v>187.85552049586775</v>
      </c>
      <c r="L32" s="1084">
        <f t="shared" si="11"/>
        <v>129.73447548057166</v>
      </c>
      <c r="M32" s="1084">
        <f t="shared" si="18"/>
        <v>0.63128649068322984</v>
      </c>
      <c r="N32" s="1084">
        <f t="shared" si="0"/>
        <v>0.43597133334477201</v>
      </c>
      <c r="Q32" s="62" t="s">
        <v>1498</v>
      </c>
      <c r="R32" s="39">
        <v>1448</v>
      </c>
      <c r="S32" s="4">
        <f t="shared" si="1"/>
        <v>1448000</v>
      </c>
      <c r="T32" s="43"/>
      <c r="U32" s="39" t="s">
        <v>1498</v>
      </c>
      <c r="V32" s="1085">
        <v>543.74049672514366</v>
      </c>
      <c r="W32" s="1085">
        <v>32.227988277999991</v>
      </c>
      <c r="X32" s="1085">
        <v>0</v>
      </c>
      <c r="Y32" s="1085">
        <v>50.396691722182858</v>
      </c>
      <c r="Z32" s="1085">
        <v>0</v>
      </c>
      <c r="AA32" s="1085">
        <v>187.85552049586775</v>
      </c>
      <c r="AB32" s="1085">
        <v>11.078165870307174</v>
      </c>
      <c r="AC32" s="1085">
        <v>0.63128649068322984</v>
      </c>
      <c r="AD32" s="1085">
        <v>62.475494714278632</v>
      </c>
      <c r="AE32" s="1085">
        <v>188.41358517600543</v>
      </c>
      <c r="AF32" s="1085">
        <v>1.1503879999999997</v>
      </c>
      <c r="AG32" s="1085">
        <v>0</v>
      </c>
      <c r="AH32" s="1085">
        <v>9.5113759778185472</v>
      </c>
    </row>
    <row r="33" spans="2:34" ht="24" customHeight="1" x14ac:dyDescent="0.3">
      <c r="B33" s="157" t="s">
        <v>466</v>
      </c>
      <c r="C33" s="1084">
        <f t="shared" si="13"/>
        <v>77.162255630000104</v>
      </c>
      <c r="D33" s="1299">
        <f t="shared" si="3"/>
        <v>48.499217869264676</v>
      </c>
      <c r="E33" s="1084">
        <f t="shared" si="14"/>
        <v>0</v>
      </c>
      <c r="F33" s="1084">
        <f t="shared" si="5"/>
        <v>0</v>
      </c>
      <c r="G33" s="1084">
        <f t="shared" si="15"/>
        <v>237.42971836995028</v>
      </c>
      <c r="H33" s="1299">
        <f t="shared" si="7"/>
        <v>149.23300966055956</v>
      </c>
      <c r="I33" s="1084">
        <f t="shared" si="16"/>
        <v>0</v>
      </c>
      <c r="J33" s="1084">
        <f t="shared" si="9"/>
        <v>0</v>
      </c>
      <c r="K33" s="1084">
        <f t="shared" si="17"/>
        <v>292.83558100082541</v>
      </c>
      <c r="L33" s="1084">
        <f t="shared" si="11"/>
        <v>184.05756191126676</v>
      </c>
      <c r="M33" s="1084">
        <f t="shared" si="18"/>
        <v>141.89730542915939</v>
      </c>
      <c r="N33" s="1084">
        <f t="shared" si="0"/>
        <v>89.18749555572559</v>
      </c>
      <c r="Q33" s="62" t="s">
        <v>466</v>
      </c>
      <c r="R33" s="39">
        <v>1591</v>
      </c>
      <c r="S33" s="4">
        <f t="shared" si="1"/>
        <v>1591000</v>
      </c>
      <c r="T33" s="43"/>
      <c r="U33" s="39" t="s">
        <v>466</v>
      </c>
      <c r="V33" s="1085">
        <v>806.10961032757677</v>
      </c>
      <c r="W33" s="1085">
        <v>77.162255630000104</v>
      </c>
      <c r="X33" s="1085">
        <v>0</v>
      </c>
      <c r="Y33" s="1085">
        <v>237.42971836995028</v>
      </c>
      <c r="Z33" s="1085">
        <v>0</v>
      </c>
      <c r="AA33" s="1085">
        <v>292.83558100082541</v>
      </c>
      <c r="AB33" s="1085">
        <v>0.9172354948805459</v>
      </c>
      <c r="AC33" s="1085">
        <v>141.89730542915939</v>
      </c>
      <c r="AD33" s="1085">
        <v>18.90813</v>
      </c>
      <c r="AE33" s="1085">
        <v>3.4495606806211834</v>
      </c>
      <c r="AF33" s="1085">
        <v>27.608675000000005</v>
      </c>
      <c r="AG33" s="1085">
        <v>0.93281999999999998</v>
      </c>
      <c r="AH33" s="1085">
        <v>4.9683287221398578</v>
      </c>
    </row>
    <row r="34" spans="2:34" ht="24" customHeight="1" x14ac:dyDescent="0.3">
      <c r="B34" s="157" t="s">
        <v>822</v>
      </c>
      <c r="C34" s="1084">
        <f t="shared" si="13"/>
        <v>1839.9513270279967</v>
      </c>
      <c r="D34" s="1084">
        <f t="shared" si="3"/>
        <v>25.12667905319072</v>
      </c>
      <c r="E34" s="1084">
        <f t="shared" si="14"/>
        <v>6670.9458689999983</v>
      </c>
      <c r="F34" s="1084">
        <f t="shared" si="5"/>
        <v>91.099537998279303</v>
      </c>
      <c r="G34" s="1084">
        <f t="shared" si="15"/>
        <v>2890.4057814105722</v>
      </c>
      <c r="H34" s="1084">
        <f t="shared" si="7"/>
        <v>39.471858486768163</v>
      </c>
      <c r="I34" s="1084">
        <f t="shared" si="16"/>
        <v>1.8442812217898827</v>
      </c>
      <c r="J34" s="1084">
        <f t="shared" si="9"/>
        <v>2.5185808810819544E-2</v>
      </c>
      <c r="K34" s="1084">
        <f t="shared" si="17"/>
        <v>7704.4688901557556</v>
      </c>
      <c r="L34" s="1084">
        <f t="shared" si="11"/>
        <v>105.21349898474273</v>
      </c>
      <c r="M34" s="1084">
        <f t="shared" si="18"/>
        <v>410.6331734222303</v>
      </c>
      <c r="N34" s="1084">
        <f t="shared" si="0"/>
        <v>5.6076744018221465</v>
      </c>
      <c r="Q34" s="62" t="s">
        <v>822</v>
      </c>
      <c r="R34" s="39">
        <v>73227</v>
      </c>
      <c r="S34" s="4">
        <f t="shared" si="1"/>
        <v>73227000</v>
      </c>
      <c r="T34" s="43"/>
      <c r="U34" s="39" t="s">
        <v>822</v>
      </c>
      <c r="V34" s="1085">
        <v>27237.189259011593</v>
      </c>
      <c r="W34" s="1085">
        <v>1839.9513270279967</v>
      </c>
      <c r="X34" s="1085">
        <v>6670.9458689999983</v>
      </c>
      <c r="Y34" s="1085">
        <v>2890.4057814105722</v>
      </c>
      <c r="Z34" s="1085">
        <v>1.8442812217898827</v>
      </c>
      <c r="AA34" s="1085">
        <v>7704.4688901557556</v>
      </c>
      <c r="AB34" s="1085">
        <v>88.845128933447214</v>
      </c>
      <c r="AC34" s="1085">
        <v>410.6331734222303</v>
      </c>
      <c r="AD34" s="1085">
        <v>1173.2566750914229</v>
      </c>
      <c r="AE34" s="1085">
        <v>137.90333979099162</v>
      </c>
      <c r="AF34" s="1085">
        <v>919.98566300000107</v>
      </c>
      <c r="AG34" s="1085">
        <v>701.53368999999986</v>
      </c>
      <c r="AH34" s="1085">
        <v>4697.4154399573863</v>
      </c>
    </row>
    <row r="35" spans="2:34" ht="24" customHeight="1" x14ac:dyDescent="0.3">
      <c r="B35" s="157" t="s">
        <v>578</v>
      </c>
      <c r="C35" s="1084">
        <f t="shared" si="13"/>
        <v>1335.6159528299929</v>
      </c>
      <c r="D35" s="1084">
        <f t="shared" si="3"/>
        <v>15.067699516363678</v>
      </c>
      <c r="E35" s="1084">
        <f t="shared" si="14"/>
        <v>0.18922</v>
      </c>
      <c r="F35" s="1084">
        <f t="shared" si="5"/>
        <v>2.1346780835053755E-3</v>
      </c>
      <c r="G35" s="1084">
        <f t="shared" si="15"/>
        <v>2072.1750610276022</v>
      </c>
      <c r="H35" s="1084">
        <f t="shared" si="7"/>
        <v>23.377162498478153</v>
      </c>
      <c r="I35" s="1084">
        <f t="shared" si="16"/>
        <v>0.11714617898832684</v>
      </c>
      <c r="J35" s="1084">
        <f t="shared" si="9"/>
        <v>1.3215800700389982E-3</v>
      </c>
      <c r="K35" s="1084">
        <f t="shared" si="17"/>
        <v>4624.608396605764</v>
      </c>
      <c r="L35" s="1084">
        <f t="shared" si="11"/>
        <v>52.17234007519955</v>
      </c>
      <c r="M35" s="1084">
        <f t="shared" si="18"/>
        <v>113.45461780279506</v>
      </c>
      <c r="N35" s="1084">
        <f t="shared" si="0"/>
        <v>1.2799338658498332</v>
      </c>
      <c r="Q35" s="62" t="s">
        <v>578</v>
      </c>
      <c r="R35" s="39">
        <v>88641</v>
      </c>
      <c r="S35" s="4">
        <f t="shared" si="1"/>
        <v>88641000</v>
      </c>
      <c r="T35" s="43"/>
      <c r="U35" s="39" t="s">
        <v>578</v>
      </c>
      <c r="V35" s="1085">
        <v>9586.4748012753535</v>
      </c>
      <c r="W35" s="1085">
        <v>1335.6159528299929</v>
      </c>
      <c r="X35" s="1085">
        <v>0.18922</v>
      </c>
      <c r="Y35" s="1085">
        <v>2072.1750610276022</v>
      </c>
      <c r="Z35" s="1085">
        <v>0.11714617898832684</v>
      </c>
      <c r="AA35" s="1085">
        <v>4624.608396605764</v>
      </c>
      <c r="AB35" s="1085">
        <v>18.277445665528997</v>
      </c>
      <c r="AC35" s="1085">
        <v>113.45461780279506</v>
      </c>
      <c r="AD35" s="1085">
        <v>70.515773535431933</v>
      </c>
      <c r="AE35" s="1085">
        <v>50.39805909208097</v>
      </c>
      <c r="AF35" s="1085">
        <v>295.85766299999995</v>
      </c>
      <c r="AG35" s="1085">
        <v>808.12347999999986</v>
      </c>
      <c r="AH35" s="1085">
        <v>197.14198553716855</v>
      </c>
    </row>
    <row r="36" spans="2:34" ht="24" customHeight="1" x14ac:dyDescent="0.3">
      <c r="B36" s="157" t="s">
        <v>606</v>
      </c>
      <c r="C36" s="1084">
        <f t="shared" si="13"/>
        <v>3650.3242496350022</v>
      </c>
      <c r="D36" s="1084">
        <f t="shared" si="3"/>
        <v>28.443937301377673</v>
      </c>
      <c r="E36" s="1084">
        <f t="shared" si="14"/>
        <v>279.03604799999994</v>
      </c>
      <c r="F36" s="1084">
        <f t="shared" si="5"/>
        <v>2.1742955724905322</v>
      </c>
      <c r="G36" s="1084">
        <f t="shared" si="15"/>
        <v>4645.5134801344357</v>
      </c>
      <c r="H36" s="1084">
        <f t="shared" si="7"/>
        <v>36.198618293939532</v>
      </c>
      <c r="I36" s="1084">
        <f t="shared" si="16"/>
        <v>1.7400787859922171</v>
      </c>
      <c r="J36" s="1084">
        <f t="shared" si="9"/>
        <v>1.3558985038978111E-2</v>
      </c>
      <c r="K36" s="1084">
        <f t="shared" si="17"/>
        <v>11256.578928711851</v>
      </c>
      <c r="L36" s="1084">
        <f t="shared" si="11"/>
        <v>87.713146389202009</v>
      </c>
      <c r="M36" s="1084">
        <f t="shared" si="18"/>
        <v>1617.5882956438936</v>
      </c>
      <c r="N36" s="1084">
        <f t="shared" si="0"/>
        <v>12.604518643881539</v>
      </c>
      <c r="Q36" s="62" t="s">
        <v>606</v>
      </c>
      <c r="R36" s="39">
        <v>128334</v>
      </c>
      <c r="S36" s="4">
        <f t="shared" si="1"/>
        <v>128334000</v>
      </c>
      <c r="T36" s="43"/>
      <c r="U36" s="39" t="s">
        <v>606</v>
      </c>
      <c r="V36" s="1085">
        <v>24293.904226234616</v>
      </c>
      <c r="W36" s="1085">
        <v>3650.3242496350022</v>
      </c>
      <c r="X36" s="1085">
        <v>279.03604799999994</v>
      </c>
      <c r="Y36" s="1085">
        <v>4645.5134801344357</v>
      </c>
      <c r="Z36" s="1085">
        <v>1.7400787859922171</v>
      </c>
      <c r="AA36" s="1085">
        <v>11256.578928711851</v>
      </c>
      <c r="AB36" s="1085">
        <v>169.6704905204783</v>
      </c>
      <c r="AC36" s="1085">
        <v>1617.5882956438936</v>
      </c>
      <c r="AD36" s="1085">
        <v>905.46374281351427</v>
      </c>
      <c r="AE36" s="1085">
        <v>483.03990654558794</v>
      </c>
      <c r="AF36" s="1085">
        <v>541.05368999999848</v>
      </c>
      <c r="AG36" s="1085">
        <v>102.24161499999992</v>
      </c>
      <c r="AH36" s="1085">
        <v>641.65370044386179</v>
      </c>
    </row>
    <row r="37" spans="2:34" ht="24" customHeight="1" x14ac:dyDescent="0.3">
      <c r="B37" s="1086" t="s">
        <v>1499</v>
      </c>
      <c r="C37" s="1087">
        <f>SUM(C31:C36)</f>
        <v>7350.9361386919936</v>
      </c>
      <c r="D37" s="1087">
        <f t="shared" si="3"/>
        <v>22.680514330692219</v>
      </c>
      <c r="E37" s="1087">
        <f>SUM(E31:E36)</f>
        <v>6950.1711369999985</v>
      </c>
      <c r="F37" s="1087">
        <f t="shared" si="5"/>
        <v>21.443997485406094</v>
      </c>
      <c r="G37" s="1087">
        <f>SUM(G31:G36)</f>
        <v>10840.434315365501</v>
      </c>
      <c r="H37" s="1087">
        <f t="shared" si="7"/>
        <v>33.446981609110239</v>
      </c>
      <c r="I37" s="1087">
        <f>SUM(I31:I36)</f>
        <v>7.1891443657587519</v>
      </c>
      <c r="J37" s="1087">
        <f t="shared" si="9"/>
        <v>2.2181323403799819E-2</v>
      </c>
      <c r="K37" s="1087">
        <f>SUM(K31:K36)</f>
        <v>26474.188854627399</v>
      </c>
      <c r="L37" s="1087">
        <f t="shared" si="11"/>
        <v>81.683231683967676</v>
      </c>
      <c r="M37" s="1087">
        <f>SUM(M31:M36)</f>
        <v>2320.5867766148485</v>
      </c>
      <c r="N37" s="1087">
        <f t="shared" si="0"/>
        <v>7.1599182266863162</v>
      </c>
      <c r="Q37" s="160" t="s">
        <v>1499</v>
      </c>
      <c r="R37" s="161">
        <f>+SUM(R31:R36)</f>
        <v>324108</v>
      </c>
      <c r="S37" s="4">
        <f t="shared" si="1"/>
        <v>324108000</v>
      </c>
      <c r="T37" s="43"/>
      <c r="V37" s="1088"/>
      <c r="W37" s="1088"/>
      <c r="X37" s="1088"/>
      <c r="Y37" s="1088"/>
      <c r="Z37" s="1088"/>
      <c r="AA37" s="1088"/>
      <c r="AB37" s="1088"/>
      <c r="AC37" s="1089"/>
      <c r="AD37" s="1088"/>
      <c r="AE37" s="1088"/>
      <c r="AF37" s="1088"/>
      <c r="AG37" s="1088"/>
      <c r="AH37" s="1088"/>
    </row>
    <row r="38" spans="2:34" ht="24" customHeight="1" x14ac:dyDescent="0.3">
      <c r="B38" s="157" t="s">
        <v>221</v>
      </c>
      <c r="C38" s="1084">
        <f t="shared" si="13"/>
        <v>1416.5334351080035</v>
      </c>
      <c r="D38" s="1084">
        <f t="shared" si="3"/>
        <v>26.465388145654348</v>
      </c>
      <c r="E38" s="1084">
        <f t="shared" si="14"/>
        <v>17.899420000000003</v>
      </c>
      <c r="F38" s="1084">
        <f t="shared" si="5"/>
        <v>0.33441857858157098</v>
      </c>
      <c r="G38" s="1084">
        <f t="shared" si="15"/>
        <v>1711.6925827884538</v>
      </c>
      <c r="H38" s="1084">
        <f t="shared" si="7"/>
        <v>31.979907757052047</v>
      </c>
      <c r="I38" s="1084">
        <f t="shared" si="16"/>
        <v>1.2731517120622562</v>
      </c>
      <c r="J38" s="1084">
        <f t="shared" si="9"/>
        <v>2.378655765754159E-2</v>
      </c>
      <c r="K38" s="1084">
        <f t="shared" si="17"/>
        <v>3745.029862868405</v>
      </c>
      <c r="L38" s="1084">
        <f t="shared" si="11"/>
        <v>69.969170145512379</v>
      </c>
      <c r="M38" s="1084">
        <f t="shared" si="18"/>
        <v>104.19959193279071</v>
      </c>
      <c r="N38" s="1084">
        <f t="shared" si="0"/>
        <v>1.9467826009414599</v>
      </c>
      <c r="Q38" s="62" t="s">
        <v>221</v>
      </c>
      <c r="R38" s="39">
        <v>53524</v>
      </c>
      <c r="S38" s="4">
        <f t="shared" si="1"/>
        <v>53524000</v>
      </c>
      <c r="T38" s="43"/>
      <c r="U38" s="39" t="s">
        <v>221</v>
      </c>
      <c r="V38" s="1085">
        <v>8797.0303529026678</v>
      </c>
      <c r="W38" s="1085">
        <v>1416.5334351080035</v>
      </c>
      <c r="X38" s="1085">
        <v>17.899420000000003</v>
      </c>
      <c r="Y38" s="1085">
        <v>1711.6925827884538</v>
      </c>
      <c r="Z38" s="1085">
        <v>1.2731517120622562</v>
      </c>
      <c r="AA38" s="1085">
        <v>3745.029862868405</v>
      </c>
      <c r="AB38" s="1085">
        <v>49.176124931740596</v>
      </c>
      <c r="AC38" s="1085">
        <v>104.19959193279071</v>
      </c>
      <c r="AD38" s="1085">
        <v>480.58036817920197</v>
      </c>
      <c r="AE38" s="1085">
        <v>40.689180368610529</v>
      </c>
      <c r="AF38" s="1085">
        <v>267.8094980000003</v>
      </c>
      <c r="AG38" s="1085">
        <v>675.56368199999974</v>
      </c>
      <c r="AH38" s="1085">
        <v>286.58345501340091</v>
      </c>
    </row>
    <row r="39" spans="2:34" ht="24" customHeight="1" x14ac:dyDescent="0.3">
      <c r="B39" s="157" t="s">
        <v>550</v>
      </c>
      <c r="C39" s="1084">
        <f t="shared" si="13"/>
        <v>2277.1647722650041</v>
      </c>
      <c r="D39" s="1084">
        <f t="shared" si="3"/>
        <v>33.22485004326073</v>
      </c>
      <c r="E39" s="1084">
        <f t="shared" si="14"/>
        <v>2.6344799999999999</v>
      </c>
      <c r="F39" s="1084">
        <f t="shared" si="5"/>
        <v>3.8438238641337649E-2</v>
      </c>
      <c r="G39" s="1084">
        <f t="shared" si="15"/>
        <v>3225.0662547953934</v>
      </c>
      <c r="H39" s="1084">
        <f t="shared" si="7"/>
        <v>47.055155604123165</v>
      </c>
      <c r="I39" s="1084">
        <f t="shared" si="16"/>
        <v>22.210143214007761</v>
      </c>
      <c r="J39" s="1084">
        <f t="shared" si="9"/>
        <v>0.32405589912176835</v>
      </c>
      <c r="K39" s="1084">
        <f t="shared" si="17"/>
        <v>8235.6455993973523</v>
      </c>
      <c r="L39" s="1084">
        <f t="shared" si="11"/>
        <v>120.16174384133404</v>
      </c>
      <c r="M39" s="1084">
        <f t="shared" si="18"/>
        <v>1075.5151497590953</v>
      </c>
      <c r="N39" s="1084">
        <f t="shared" si="0"/>
        <v>15.692245903864938</v>
      </c>
      <c r="Q39" s="62" t="s">
        <v>550</v>
      </c>
      <c r="R39" s="39">
        <v>68538</v>
      </c>
      <c r="S39" s="4">
        <f t="shared" si="1"/>
        <v>68538000</v>
      </c>
      <c r="T39" s="43"/>
      <c r="U39" s="39" t="s">
        <v>550</v>
      </c>
      <c r="V39" s="1085">
        <v>16355.775470162464</v>
      </c>
      <c r="W39" s="1085">
        <v>2277.1647722650041</v>
      </c>
      <c r="X39" s="1085">
        <v>2.6344799999999999</v>
      </c>
      <c r="Y39" s="1085">
        <v>3225.0662547953934</v>
      </c>
      <c r="Z39" s="1085">
        <v>22.210143214007761</v>
      </c>
      <c r="AA39" s="1085">
        <v>8235.6455993973523</v>
      </c>
      <c r="AB39" s="1085">
        <v>15.449232517064845</v>
      </c>
      <c r="AC39" s="1085">
        <v>1075.5151497590953</v>
      </c>
      <c r="AD39" s="1085">
        <v>374.54487813699149</v>
      </c>
      <c r="AE39" s="1085">
        <v>75.368721304190288</v>
      </c>
      <c r="AF39" s="1085">
        <v>164.38897200000034</v>
      </c>
      <c r="AG39" s="1085">
        <v>722.81139700000006</v>
      </c>
      <c r="AH39" s="1085">
        <v>164.97586977336266</v>
      </c>
    </row>
    <row r="40" spans="2:34" ht="24" customHeight="1" x14ac:dyDescent="0.3">
      <c r="B40" s="157" t="s">
        <v>568</v>
      </c>
      <c r="C40" s="1084">
        <f t="shared" si="13"/>
        <v>1219.0048083170038</v>
      </c>
      <c r="D40" s="1084">
        <f t="shared" si="3"/>
        <v>33.802091016193984</v>
      </c>
      <c r="E40" s="1084">
        <f t="shared" si="14"/>
        <v>2.1771399999999996</v>
      </c>
      <c r="F40" s="1084">
        <f t="shared" si="5"/>
        <v>6.0370462801208981E-2</v>
      </c>
      <c r="G40" s="1084">
        <f t="shared" si="15"/>
        <v>1981.6705411977339</v>
      </c>
      <c r="H40" s="1084">
        <f t="shared" si="7"/>
        <v>54.95024100040856</v>
      </c>
      <c r="I40" s="1084">
        <f t="shared" si="16"/>
        <v>18.989890474708123</v>
      </c>
      <c r="J40" s="1084">
        <f t="shared" si="9"/>
        <v>0.52657545059224475</v>
      </c>
      <c r="K40" s="1084">
        <f t="shared" si="17"/>
        <v>2486.9606260099185</v>
      </c>
      <c r="L40" s="1084">
        <f t="shared" si="11"/>
        <v>68.961556886834671</v>
      </c>
      <c r="M40" s="1084">
        <f t="shared" si="18"/>
        <v>507.68133962847514</v>
      </c>
      <c r="N40" s="1084">
        <f t="shared" si="0"/>
        <v>14.077623592836845</v>
      </c>
      <c r="Q40" s="62" t="s">
        <v>568</v>
      </c>
      <c r="R40" s="39">
        <v>36063</v>
      </c>
      <c r="S40" s="4">
        <f t="shared" si="1"/>
        <v>36063000</v>
      </c>
      <c r="T40" s="43"/>
      <c r="U40" s="39" t="s">
        <v>568</v>
      </c>
      <c r="V40" s="1085">
        <v>7266.906900408846</v>
      </c>
      <c r="W40" s="1085">
        <v>1219.0048083170038</v>
      </c>
      <c r="X40" s="1085">
        <v>2.1771399999999996</v>
      </c>
      <c r="Y40" s="1085">
        <v>1981.6705411977339</v>
      </c>
      <c r="Z40" s="1085">
        <v>18.989890474708123</v>
      </c>
      <c r="AA40" s="1085">
        <v>2486.9606260099185</v>
      </c>
      <c r="AB40" s="1085">
        <v>9.9030042491467452</v>
      </c>
      <c r="AC40" s="1085">
        <v>507.68133962847514</v>
      </c>
      <c r="AD40" s="1085">
        <v>507.02575443446955</v>
      </c>
      <c r="AE40" s="1085">
        <v>46.018056643041319</v>
      </c>
      <c r="AF40" s="1085">
        <v>214.6762700000007</v>
      </c>
      <c r="AG40" s="1085">
        <v>16.252758999999998</v>
      </c>
      <c r="AH40" s="1085">
        <v>256.54671045434765</v>
      </c>
    </row>
    <row r="41" spans="2:34" ht="24" customHeight="1" x14ac:dyDescent="0.3">
      <c r="B41" s="157" t="s">
        <v>1500</v>
      </c>
      <c r="C41" s="1084">
        <f t="shared" si="13"/>
        <v>1.1320875999999997</v>
      </c>
      <c r="D41" s="1084">
        <f t="shared" si="3"/>
        <v>16.407066666666665</v>
      </c>
      <c r="E41" s="1084">
        <f t="shared" si="14"/>
        <v>0</v>
      </c>
      <c r="F41" s="1084">
        <f t="shared" si="5"/>
        <v>0</v>
      </c>
      <c r="G41" s="1084">
        <f t="shared" si="15"/>
        <v>1.1429664776754076</v>
      </c>
      <c r="H41" s="1084">
        <f t="shared" si="7"/>
        <v>16.564731560513152</v>
      </c>
      <c r="I41" s="1084">
        <f t="shared" si="16"/>
        <v>0</v>
      </c>
      <c r="J41" s="1298">
        <f t="shared" si="9"/>
        <v>0</v>
      </c>
      <c r="K41" s="1084">
        <f t="shared" si="17"/>
        <v>19.70809518181818</v>
      </c>
      <c r="L41" s="1084">
        <f t="shared" si="11"/>
        <v>285.62456785243739</v>
      </c>
      <c r="M41" s="1084">
        <f t="shared" si="18"/>
        <v>0.30577866459627329</v>
      </c>
      <c r="N41" s="1084">
        <f t="shared" si="0"/>
        <v>4.4315748492213523</v>
      </c>
      <c r="Q41" s="62" t="s">
        <v>1500</v>
      </c>
      <c r="R41" s="39">
        <v>69</v>
      </c>
      <c r="S41" s="4">
        <f t="shared" si="1"/>
        <v>69000</v>
      </c>
      <c r="T41" s="43"/>
      <c r="U41" s="39" t="s">
        <v>1500</v>
      </c>
      <c r="V41" s="1085">
        <v>22.496070845095243</v>
      </c>
      <c r="W41" s="1085">
        <v>1.1320875999999997</v>
      </c>
      <c r="X41" s="1085">
        <v>0</v>
      </c>
      <c r="Y41" s="1085">
        <v>1.1429664776754076</v>
      </c>
      <c r="Z41" s="1085">
        <v>0</v>
      </c>
      <c r="AA41" s="1085">
        <v>19.70809518181818</v>
      </c>
      <c r="AB41" s="1085">
        <v>0</v>
      </c>
      <c r="AC41" s="1085">
        <v>0.30577866459627329</v>
      </c>
      <c r="AD41" s="1085">
        <v>0</v>
      </c>
      <c r="AE41" s="1085">
        <v>0.10964292100538603</v>
      </c>
      <c r="AF41" s="1085">
        <v>9.7500000000000003E-2</v>
      </c>
      <c r="AG41" s="1085">
        <v>0</v>
      </c>
      <c r="AH41" s="1085">
        <v>0</v>
      </c>
    </row>
    <row r="42" spans="2:34" ht="24" customHeight="1" x14ac:dyDescent="0.3">
      <c r="B42" s="157" t="s">
        <v>851</v>
      </c>
      <c r="C42" s="1084">
        <f t="shared" si="13"/>
        <v>50.377147417999971</v>
      </c>
      <c r="D42" s="1084">
        <f t="shared" si="3"/>
        <v>29.289039196511609</v>
      </c>
      <c r="E42" s="1084">
        <f t="shared" si="14"/>
        <v>0</v>
      </c>
      <c r="F42" s="1084">
        <f t="shared" si="5"/>
        <v>0</v>
      </c>
      <c r="G42" s="1084">
        <f t="shared" si="15"/>
        <v>207.7859884479094</v>
      </c>
      <c r="H42" s="1084">
        <f t="shared" si="7"/>
        <v>120.80580723715664</v>
      </c>
      <c r="I42" s="1084">
        <f t="shared" si="16"/>
        <v>0</v>
      </c>
      <c r="J42" s="1084">
        <f t="shared" si="9"/>
        <v>0</v>
      </c>
      <c r="K42" s="1084">
        <f t="shared" si="17"/>
        <v>598.93458028429802</v>
      </c>
      <c r="L42" s="1084">
        <f t="shared" si="11"/>
        <v>348.21777923505704</v>
      </c>
      <c r="M42" s="1084">
        <f t="shared" si="18"/>
        <v>0</v>
      </c>
      <c r="N42" s="1298">
        <f t="shared" si="0"/>
        <v>0</v>
      </c>
      <c r="Q42" s="62" t="s">
        <v>851</v>
      </c>
      <c r="R42" s="39">
        <v>1720</v>
      </c>
      <c r="S42" s="4">
        <f t="shared" si="1"/>
        <v>1720000</v>
      </c>
      <c r="U42" s="39" t="s">
        <v>851</v>
      </c>
      <c r="V42" s="1085">
        <v>898.04907665057419</v>
      </c>
      <c r="W42" s="1085">
        <v>50.377147417999971</v>
      </c>
      <c r="X42" s="1085">
        <v>0</v>
      </c>
      <c r="Y42" s="1085">
        <v>207.7859884479094</v>
      </c>
      <c r="Z42" s="1085">
        <v>0</v>
      </c>
      <c r="AA42" s="1085">
        <v>598.93458028429802</v>
      </c>
      <c r="AB42" s="1085">
        <v>0.56953980375426616</v>
      </c>
      <c r="AC42" s="1085">
        <v>0</v>
      </c>
      <c r="AD42" s="1085">
        <v>21.099804066577125</v>
      </c>
      <c r="AE42" s="1085">
        <v>3.8251275948348278</v>
      </c>
      <c r="AF42" s="1085">
        <v>0.17924000000000001</v>
      </c>
      <c r="AG42" s="1085">
        <v>2.1161699999999999</v>
      </c>
      <c r="AH42" s="1085">
        <v>13.161479035200493</v>
      </c>
    </row>
    <row r="43" spans="2:34" ht="24" customHeight="1" x14ac:dyDescent="0.3">
      <c r="B43" s="157" t="s">
        <v>224</v>
      </c>
      <c r="C43" s="1084">
        <f t="shared" si="13"/>
        <v>2662.3963797950432</v>
      </c>
      <c r="D43" s="1084">
        <f t="shared" si="3"/>
        <v>34.434812263732987</v>
      </c>
      <c r="E43" s="1084">
        <f t="shared" si="14"/>
        <v>25.15907</v>
      </c>
      <c r="F43" s="1084">
        <f t="shared" si="5"/>
        <v>0.32540152877116285</v>
      </c>
      <c r="G43" s="1084">
        <f t="shared" si="15"/>
        <v>3795.2236805510047</v>
      </c>
      <c r="H43" s="1084">
        <f t="shared" si="7"/>
        <v>49.086535697854345</v>
      </c>
      <c r="I43" s="1084">
        <f t="shared" si="16"/>
        <v>73.179114684824825</v>
      </c>
      <c r="J43" s="1084">
        <f t="shared" si="9"/>
        <v>0.94648155883990359</v>
      </c>
      <c r="K43" s="1084">
        <f t="shared" si="17"/>
        <v>6777.9683664141403</v>
      </c>
      <c r="L43" s="1084">
        <f t="shared" si="11"/>
        <v>87.664658049512269</v>
      </c>
      <c r="M43" s="1084">
        <f t="shared" si="18"/>
        <v>601.4971246302141</v>
      </c>
      <c r="N43" s="1084">
        <f t="shared" si="0"/>
        <v>7.7796231699395229</v>
      </c>
      <c r="Q43" s="62" t="s">
        <v>224</v>
      </c>
      <c r="R43" s="39">
        <v>77317</v>
      </c>
      <c r="S43" s="4">
        <f t="shared" si="1"/>
        <v>77317000</v>
      </c>
      <c r="U43" s="39" t="s">
        <v>224</v>
      </c>
      <c r="V43" s="1085">
        <v>16848.070642772993</v>
      </c>
      <c r="W43" s="1085">
        <v>2662.3963797950432</v>
      </c>
      <c r="X43" s="1085">
        <v>25.15907</v>
      </c>
      <c r="Y43" s="1085">
        <v>3795.2236805510047</v>
      </c>
      <c r="Z43" s="1085">
        <v>73.179114684824825</v>
      </c>
      <c r="AA43" s="1085">
        <v>6777.9683664141403</v>
      </c>
      <c r="AB43" s="1085">
        <v>33.619458856655278</v>
      </c>
      <c r="AC43" s="1085">
        <v>601.4971246302141</v>
      </c>
      <c r="AD43" s="1085">
        <v>424.14907963251648</v>
      </c>
      <c r="AE43" s="1085">
        <v>216.31991351991903</v>
      </c>
      <c r="AF43" s="1085">
        <v>738.65824599999883</v>
      </c>
      <c r="AG43" s="1085">
        <v>923.3461029999994</v>
      </c>
      <c r="AH43" s="1085">
        <v>576.55410568867342</v>
      </c>
    </row>
    <row r="44" spans="2:34" ht="24" customHeight="1" x14ac:dyDescent="0.3">
      <c r="B44" s="157" t="s">
        <v>691</v>
      </c>
      <c r="C44" s="1084">
        <f>W44</f>
        <v>1242.8191922669985</v>
      </c>
      <c r="D44" s="1084">
        <f t="shared" si="3"/>
        <v>32.319633647136797</v>
      </c>
      <c r="E44" s="1084">
        <f>X44</f>
        <v>0.40436000000000005</v>
      </c>
      <c r="F44" s="1084">
        <f t="shared" si="5"/>
        <v>1.0515421022520415E-2</v>
      </c>
      <c r="G44" s="1084">
        <f>Y44</f>
        <v>1901.393239953145</v>
      </c>
      <c r="H44" s="1084">
        <f t="shared" si="7"/>
        <v>49.445915638246866</v>
      </c>
      <c r="I44" s="1084">
        <f>Z44</f>
        <v>0.19922178988326847</v>
      </c>
      <c r="J44" s="1084">
        <f t="shared" si="9"/>
        <v>5.1807819702311452E-3</v>
      </c>
      <c r="K44" s="1084">
        <f>AA44</f>
        <v>3740.6981258735304</v>
      </c>
      <c r="L44" s="1084">
        <f t="shared" si="11"/>
        <v>97.277217607362829</v>
      </c>
      <c r="M44" s="1084">
        <f>AC44</f>
        <v>435.85241966263027</v>
      </c>
      <c r="N44" s="1084">
        <f t="shared" si="0"/>
        <v>11.3343844505807</v>
      </c>
      <c r="Q44" s="62" t="s">
        <v>691</v>
      </c>
      <c r="R44" s="39">
        <v>38454</v>
      </c>
      <c r="S44" s="4">
        <f t="shared" si="1"/>
        <v>38454000</v>
      </c>
      <c r="U44" s="39" t="s">
        <v>691</v>
      </c>
      <c r="V44" s="1085">
        <v>7773.8387108066108</v>
      </c>
      <c r="W44" s="1085">
        <v>1242.8191922669985</v>
      </c>
      <c r="X44" s="1085">
        <v>0.40436000000000005</v>
      </c>
      <c r="Y44" s="1085">
        <v>1901.393239953145</v>
      </c>
      <c r="Z44" s="1085">
        <v>0.19922178988326847</v>
      </c>
      <c r="AA44" s="1085">
        <v>3740.6981258735304</v>
      </c>
      <c r="AB44" s="1085">
        <v>31.813647320819122</v>
      </c>
      <c r="AC44" s="1085">
        <v>435.85241966263027</v>
      </c>
      <c r="AD44" s="1085">
        <v>133.90965212970073</v>
      </c>
      <c r="AE44" s="1085">
        <v>45.565577273669696</v>
      </c>
      <c r="AF44" s="1085">
        <v>119.13587399999997</v>
      </c>
      <c r="AG44" s="1085">
        <v>63.87383300000004</v>
      </c>
      <c r="AH44" s="1085">
        <v>58.173567536234486</v>
      </c>
    </row>
    <row r="45" spans="2:34" ht="24" customHeight="1" x14ac:dyDescent="0.3">
      <c r="B45" s="1086" t="s">
        <v>1501</v>
      </c>
      <c r="C45" s="1087">
        <f>SUM(C38:C44)</f>
        <v>8869.4278227700524</v>
      </c>
      <c r="D45" s="1087">
        <f t="shared" si="3"/>
        <v>32.172326469594111</v>
      </c>
      <c r="E45" s="1087">
        <f>SUM(E38:E44)</f>
        <v>48.274470000000001</v>
      </c>
      <c r="F45" s="1087">
        <f t="shared" si="5"/>
        <v>0.17510735078078241</v>
      </c>
      <c r="G45" s="1087">
        <f>SUM(G38:G44)</f>
        <v>12823.975254211316</v>
      </c>
      <c r="H45" s="1087">
        <f t="shared" si="7"/>
        <v>46.51676824713465</v>
      </c>
      <c r="I45" s="1087">
        <f>SUM(I38:I44)</f>
        <v>115.85152187548623</v>
      </c>
      <c r="J45" s="1087">
        <f t="shared" si="9"/>
        <v>0.42023150289455802</v>
      </c>
      <c r="K45" s="1087">
        <f>SUM(K38:K44)</f>
        <v>25604.945256029467</v>
      </c>
      <c r="L45" s="1087">
        <f t="shared" si="11"/>
        <v>92.877542325587058</v>
      </c>
      <c r="M45" s="1087">
        <f>SUM(M38:M44)</f>
        <v>2725.0514042778022</v>
      </c>
      <c r="N45" s="1087">
        <f t="shared" si="0"/>
        <v>9.8846560541117672</v>
      </c>
      <c r="Q45" s="160" t="s">
        <v>1501</v>
      </c>
      <c r="R45" s="161">
        <f>+SUM(R38:R44)</f>
        <v>275685</v>
      </c>
      <c r="S45" s="4">
        <f t="shared" si="1"/>
        <v>275685000</v>
      </c>
      <c r="V45" s="1088">
        <f t="shared" ref="V45:AH45" si="19">SUM(V5:V44)</f>
        <v>223480.31114676502</v>
      </c>
      <c r="W45" s="1088">
        <f t="shared" si="19"/>
        <v>32952.707723162006</v>
      </c>
      <c r="X45" s="1088">
        <f t="shared" si="19"/>
        <v>11306.667027999998</v>
      </c>
      <c r="Y45" s="1088">
        <f t="shared" si="19"/>
        <v>42586.161889506904</v>
      </c>
      <c r="Z45" s="1088">
        <f t="shared" si="19"/>
        <v>459.6432424124518</v>
      </c>
      <c r="AA45" s="1088">
        <f t="shared" si="19"/>
        <v>94669.384548632937</v>
      </c>
      <c r="AB45" s="1088">
        <f t="shared" si="19"/>
        <v>1009.330920614335</v>
      </c>
      <c r="AC45" s="1088">
        <f t="shared" si="19"/>
        <v>9158.8721187124411</v>
      </c>
      <c r="AD45" s="1088">
        <f t="shared" si="19"/>
        <v>6109.5797225208726</v>
      </c>
      <c r="AE45" s="1088">
        <f t="shared" si="19"/>
        <v>1928.4643348130626</v>
      </c>
      <c r="AF45" s="1088">
        <f t="shared" si="19"/>
        <v>6087.1899270000013</v>
      </c>
      <c r="AG45" s="1088">
        <f t="shared" si="19"/>
        <v>8387.3767289999996</v>
      </c>
      <c r="AH45" s="1088">
        <f t="shared" si="19"/>
        <v>8824.9329623899939</v>
      </c>
    </row>
    <row r="46" spans="2:34" ht="24" customHeight="1" x14ac:dyDescent="0.3">
      <c r="B46" s="2365" t="s">
        <v>2427</v>
      </c>
      <c r="C46" s="2366">
        <v>216.80122400000002</v>
      </c>
      <c r="D46" s="2366"/>
      <c r="E46" s="2366">
        <v>419.08981800000004</v>
      </c>
      <c r="F46" s="2366"/>
      <c r="G46" s="2366">
        <v>1.878433333338058E-2</v>
      </c>
      <c r="H46" s="2366"/>
      <c r="I46" s="2366">
        <v>0</v>
      </c>
      <c r="J46" s="2366"/>
      <c r="K46" s="2366">
        <v>38.179949999999998</v>
      </c>
      <c r="L46" s="2366"/>
      <c r="M46" s="2366">
        <v>2.5264039999999999</v>
      </c>
      <c r="N46" s="2366"/>
      <c r="Q46" s="1623"/>
      <c r="R46" s="1624"/>
      <c r="V46" s="1088"/>
      <c r="W46" s="1088"/>
      <c r="X46" s="1088"/>
      <c r="Y46" s="1088"/>
      <c r="Z46" s="1088"/>
      <c r="AA46" s="1088"/>
      <c r="AB46" s="1088"/>
      <c r="AC46" s="1088"/>
      <c r="AD46" s="1088"/>
      <c r="AE46" s="1088"/>
      <c r="AF46" s="1088"/>
      <c r="AG46" s="1088"/>
      <c r="AH46" s="1088"/>
    </row>
    <row r="47" spans="2:34" ht="24" customHeight="1" x14ac:dyDescent="0.3">
      <c r="B47" s="2367" t="s">
        <v>1029</v>
      </c>
      <c r="C47" s="2368">
        <f>C45+C37+C30+C21+C15+C46</f>
        <v>33169.508947162016</v>
      </c>
      <c r="D47" s="2368">
        <f>(C47*1000*1000)/$S47</f>
        <v>23.505286781614455</v>
      </c>
      <c r="E47" s="2368">
        <f>E45+E37+E30+E21+E15+E46</f>
        <v>11725.756846</v>
      </c>
      <c r="F47" s="2368">
        <f>(E47*1000*1000)/$S47</f>
        <v>8.3093565791329205</v>
      </c>
      <c r="G47" s="2368">
        <f>G45+G37+G30+G21+G15+G46</f>
        <v>42586.180673840245</v>
      </c>
      <c r="H47" s="2368">
        <f>(G47*1000*1000)/$S47</f>
        <v>30.178330082209662</v>
      </c>
      <c r="I47" s="2368">
        <f>I45+I37+I30+I21+I15+I46</f>
        <v>459.6432424124518</v>
      </c>
      <c r="J47" s="2368">
        <f>(I47*1000*1000)/$S47</f>
        <v>0.32572222420736813</v>
      </c>
      <c r="K47" s="2368">
        <f>K45+K37+K30+K21+K15+K46</f>
        <v>94707.564498632928</v>
      </c>
      <c r="L47" s="2368">
        <f>(K47*1000*1000)/$S47</f>
        <v>67.113699737755155</v>
      </c>
      <c r="M47" s="2368">
        <f>M45+M37+M30+M21+M15+M46</f>
        <v>9161.3985227124431</v>
      </c>
      <c r="N47" s="2368">
        <f>(M47*1000*1000)/$S47</f>
        <v>6.4921461436178287</v>
      </c>
      <c r="Q47" s="63" t="s">
        <v>1029</v>
      </c>
      <c r="R47" s="162">
        <f>+R45+R37+R30+R21+R15</f>
        <v>1411151</v>
      </c>
      <c r="S47" s="4">
        <f t="shared" si="1"/>
        <v>1411151000</v>
      </c>
      <c r="U47" s="4" t="s">
        <v>2427</v>
      </c>
      <c r="V47" s="2519">
        <f>SUM(W47:AH47)</f>
        <v>18132.200005333332</v>
      </c>
      <c r="W47" s="2520">
        <v>216.80122400000002</v>
      </c>
      <c r="X47" s="2520">
        <v>419.08981800000004</v>
      </c>
      <c r="Y47" s="2519">
        <v>1.878433333338058E-2</v>
      </c>
      <c r="Z47" s="2519">
        <v>0</v>
      </c>
      <c r="AA47" s="2520">
        <v>38.179949999999998</v>
      </c>
      <c r="AB47" s="2519">
        <v>0</v>
      </c>
      <c r="AC47" s="2519">
        <v>2.5264039999999999</v>
      </c>
      <c r="AD47" s="2520">
        <v>267.29244299999999</v>
      </c>
      <c r="AE47" s="2520">
        <v>3033.019804</v>
      </c>
      <c r="AF47" s="2520">
        <v>2610.1098529999999</v>
      </c>
      <c r="AG47" s="2519">
        <v>10013.412649</v>
      </c>
      <c r="AH47" s="2520">
        <v>1531.7490759999998</v>
      </c>
    </row>
    <row r="48" spans="2:34" x14ac:dyDescent="0.3">
      <c r="B48" s="1254" t="s">
        <v>1503</v>
      </c>
      <c r="C48" s="1041"/>
      <c r="D48" s="1042"/>
      <c r="E48" s="1042"/>
      <c r="F48" s="1300" t="s">
        <v>1505</v>
      </c>
      <c r="G48" s="1301" t="s">
        <v>1506</v>
      </c>
      <c r="H48" s="1043"/>
      <c r="I48" s="1043"/>
      <c r="J48" s="1044"/>
      <c r="K48" s="1043"/>
      <c r="L48" s="1043"/>
      <c r="M48" s="1043"/>
      <c r="N48" s="1045"/>
      <c r="U48" s="4" t="s">
        <v>1504</v>
      </c>
      <c r="V48" s="2521"/>
      <c r="W48" s="2521"/>
      <c r="X48" s="2521"/>
      <c r="Y48" s="2521"/>
      <c r="Z48" s="2521"/>
      <c r="AA48" s="2521"/>
      <c r="AB48" s="2521"/>
      <c r="AC48" s="2521"/>
      <c r="AD48" s="2521"/>
      <c r="AE48" s="2522"/>
      <c r="AF48" s="2521"/>
      <c r="AG48" s="2521"/>
      <c r="AH48" s="2521"/>
    </row>
    <row r="49" spans="2:34" x14ac:dyDescent="0.3">
      <c r="B49" s="1255" t="s">
        <v>2481</v>
      </c>
      <c r="C49" s="1043"/>
      <c r="D49" s="1046"/>
      <c r="E49" s="1047"/>
      <c r="F49" s="1047"/>
      <c r="G49" s="1043"/>
      <c r="H49" s="1043"/>
      <c r="I49" s="1043"/>
      <c r="J49" s="1043"/>
      <c r="K49" s="1043"/>
      <c r="L49" s="1044"/>
      <c r="M49" s="1043"/>
      <c r="N49" s="1045"/>
      <c r="V49" s="2523"/>
      <c r="W49" s="2521"/>
      <c r="X49" s="2521"/>
      <c r="Y49" s="2521"/>
      <c r="Z49" s="2521"/>
      <c r="AA49" s="2521"/>
      <c r="AB49" s="2521"/>
      <c r="AC49" s="2522"/>
      <c r="AD49" s="2521"/>
      <c r="AE49" s="2521"/>
      <c r="AF49" s="2521"/>
      <c r="AG49" s="2521"/>
      <c r="AH49" s="2521"/>
    </row>
    <row r="50" spans="2:34" x14ac:dyDescent="0.3">
      <c r="B50" s="1256" t="s">
        <v>945</v>
      </c>
      <c r="C50" s="1042"/>
      <c r="D50" s="1042"/>
      <c r="E50" s="1042"/>
      <c r="F50" s="1042"/>
      <c r="G50" s="1042"/>
      <c r="H50" s="1042"/>
      <c r="I50" s="1042"/>
      <c r="J50" s="1042"/>
      <c r="K50" s="1042"/>
      <c r="L50" s="1042"/>
      <c r="M50" s="1042"/>
      <c r="N50" s="1048"/>
    </row>
    <row r="51" spans="2:34" x14ac:dyDescent="0.3">
      <c r="B51" s="2369" t="s">
        <v>3013</v>
      </c>
      <c r="C51" s="2370"/>
      <c r="D51" s="2370"/>
      <c r="E51" s="2370"/>
      <c r="F51" s="2370"/>
      <c r="G51" s="1043"/>
      <c r="H51" s="1043"/>
      <c r="I51" s="1043"/>
      <c r="J51" s="1043"/>
      <c r="K51" s="1043"/>
      <c r="L51" s="1043"/>
      <c r="M51" s="1043"/>
      <c r="N51" s="1045"/>
    </row>
    <row r="52" spans="2:34" x14ac:dyDescent="0.3">
      <c r="B52" s="1254" t="s">
        <v>1507</v>
      </c>
      <c r="C52" s="1043"/>
      <c r="D52" s="1043"/>
      <c r="E52" s="1043"/>
      <c r="F52" s="1043"/>
      <c r="G52" s="1043"/>
      <c r="H52" s="1043"/>
      <c r="I52" s="1043"/>
      <c r="J52" s="1043"/>
      <c r="K52" s="1043"/>
      <c r="L52" s="1043"/>
      <c r="M52" s="1043"/>
      <c r="N52" s="1045"/>
    </row>
    <row r="53" spans="2:34" ht="17.25" thickBot="1" x14ac:dyDescent="0.35">
      <c r="B53" s="1257" t="s">
        <v>1508</v>
      </c>
      <c r="C53" s="1049"/>
      <c r="D53" s="1049"/>
      <c r="E53" s="1049"/>
      <c r="F53" s="1049"/>
      <c r="G53" s="1049"/>
      <c r="H53" s="1049"/>
      <c r="I53" s="1049"/>
      <c r="J53" s="1049"/>
      <c r="K53" s="1049"/>
      <c r="L53" s="1049"/>
      <c r="M53" s="1049"/>
      <c r="N53" s="1050"/>
    </row>
    <row r="54" spans="2:34" x14ac:dyDescent="0.3">
      <c r="B54" s="90"/>
      <c r="C54" s="1051"/>
      <c r="D54" s="1051"/>
      <c r="E54" s="1051"/>
      <c r="F54" s="1051"/>
      <c r="G54" s="1051"/>
      <c r="H54" s="1051"/>
      <c r="I54" s="1051"/>
      <c r="J54" s="1051"/>
      <c r="K54" s="1051"/>
      <c r="L54" s="1051"/>
      <c r="M54" s="1051"/>
      <c r="N54" s="1051"/>
    </row>
    <row r="56" spans="2:34" x14ac:dyDescent="0.3">
      <c r="M56" s="165"/>
    </row>
    <row r="57" spans="2:34" x14ac:dyDescent="0.3">
      <c r="B57" s="4" t="s">
        <v>1509</v>
      </c>
      <c r="D57" s="164">
        <f>+MAX(D5:D44)</f>
        <v>48.499217869264676</v>
      </c>
      <c r="F57" s="164">
        <f>+MAX(F5:F44)</f>
        <v>107.93220455133178</v>
      </c>
      <c r="H57" s="164">
        <f>+MAX(H5:H44)</f>
        <v>149.23300966055956</v>
      </c>
      <c r="J57" s="164">
        <f>+MAX(J5:J44)</f>
        <v>160.81817366373124</v>
      </c>
      <c r="L57" s="164">
        <f>+MAX(L5:L44)</f>
        <v>435.63973135394343</v>
      </c>
      <c r="N57" s="164">
        <f>+MAX(N5:N44)</f>
        <v>114.29113468376306</v>
      </c>
    </row>
    <row r="58" spans="2:34" x14ac:dyDescent="0.3">
      <c r="B58" s="4" t="s">
        <v>1510</v>
      </c>
      <c r="D58" s="164">
        <f>+MIN(D5:D47)</f>
        <v>11.254639040762427</v>
      </c>
      <c r="F58" s="164">
        <f>+MIN(F5:F47)</f>
        <v>0</v>
      </c>
      <c r="H58" s="164">
        <f>+MIN(H5:H47)</f>
        <v>9.6360874176609386</v>
      </c>
      <c r="J58" s="164">
        <f>+MIN(J5:J47)</f>
        <v>0</v>
      </c>
      <c r="L58" s="164">
        <f>+MIN(L5:L47)</f>
        <v>19.417638594868375</v>
      </c>
      <c r="N58" s="164">
        <f>+MIN(N5:N47)</f>
        <v>0</v>
      </c>
    </row>
    <row r="65" ht="1.5" customHeight="1" x14ac:dyDescent="0.3"/>
  </sheetData>
  <mergeCells count="8">
    <mergeCell ref="B1:N1"/>
    <mergeCell ref="B2:N2"/>
    <mergeCell ref="C3:D3"/>
    <mergeCell ref="E3:F3"/>
    <mergeCell ref="G3:H3"/>
    <mergeCell ref="I3:J3"/>
    <mergeCell ref="K3:L3"/>
    <mergeCell ref="M3:N3"/>
  </mergeCells>
  <pageMargins left="0.70866141732283472" right="0.70866141732283472" top="0.74803149606299213" bottom="0.74803149606299213" header="0.31496062992125984" footer="0.31496062992125984"/>
  <pageSetup paperSize="9" scale="18" orientation="portrait" horizontalDpi="300" verticalDpi="300"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2F2A77-5492-4C28-B2E6-6DDCDE152519}">
  <sheetPr>
    <tabColor theme="0"/>
    <pageSetUpPr fitToPage="1"/>
  </sheetPr>
  <dimension ref="B1:AK65"/>
  <sheetViews>
    <sheetView showGridLines="0" view="pageLayout" topLeftCell="A24" zoomScale="70" zoomScaleNormal="80" zoomScalePageLayoutView="70" workbookViewId="0">
      <selection activeCell="C5" sqref="C5:O46"/>
    </sheetView>
  </sheetViews>
  <sheetFormatPr defaultColWidth="9.140625" defaultRowHeight="16.5" x14ac:dyDescent="0.3"/>
  <cols>
    <col min="1" max="1" width="9.140625" style="4"/>
    <col min="2" max="2" width="27.140625" style="4" customWidth="1"/>
    <col min="3" max="3" width="13.85546875" style="51" customWidth="1"/>
    <col min="4" max="6" width="11.7109375" style="51" customWidth="1"/>
    <col min="7" max="7" width="12.7109375" style="51" customWidth="1"/>
    <col min="8" max="8" width="11.7109375" style="51" customWidth="1"/>
    <col min="9" max="9" width="12.7109375" style="51" customWidth="1"/>
    <col min="10" max="10" width="11.7109375" style="51" customWidth="1"/>
    <col min="11" max="11" width="12.7109375" style="51" customWidth="1"/>
    <col min="12" max="12" width="11.7109375" style="51" customWidth="1"/>
    <col min="13" max="13" width="12.7109375" style="51" customWidth="1"/>
    <col min="14" max="14" width="11.7109375" style="51" customWidth="1"/>
    <col min="15" max="15" width="12.5703125" style="4" bestFit="1" customWidth="1"/>
    <col min="16" max="16" width="20" style="4" customWidth="1"/>
    <col min="17" max="17" width="9.140625" style="4" customWidth="1"/>
    <col min="18" max="18" width="39.42578125" style="4" hidden="1" customWidth="1"/>
    <col min="19" max="20" width="12.42578125" style="4" hidden="1" customWidth="1"/>
    <col min="21" max="21" width="2.5703125" style="4" hidden="1" customWidth="1"/>
    <col min="22" max="22" width="42.28515625" style="4" hidden="1" customWidth="1"/>
    <col min="23" max="23" width="13.42578125" style="4" hidden="1" customWidth="1"/>
    <col min="24" max="24" width="10.5703125" style="4" hidden="1" customWidth="1"/>
    <col min="25" max="25" width="9.7109375" style="4" hidden="1" customWidth="1"/>
    <col min="26" max="26" width="10.5703125" style="4" hidden="1" customWidth="1"/>
    <col min="27" max="27" width="8.42578125" style="4" hidden="1" customWidth="1"/>
    <col min="28" max="28" width="10.5703125" style="4" hidden="1" customWidth="1"/>
    <col min="29" max="29" width="8.42578125" style="4" hidden="1" customWidth="1"/>
    <col min="30" max="31" width="9.5703125" style="4" hidden="1" customWidth="1"/>
    <col min="32" max="32" width="8.42578125" style="155" hidden="1" customWidth="1"/>
    <col min="33" max="35" width="9.5703125" style="4" hidden="1" customWidth="1"/>
    <col min="36" max="36" width="0" style="4" hidden="1" customWidth="1"/>
    <col min="37" max="37" width="12.7109375" style="4" hidden="1" customWidth="1"/>
    <col min="38" max="38" width="0" style="4" hidden="1" customWidth="1"/>
    <col min="39" max="16384" width="9.140625" style="4"/>
  </cols>
  <sheetData>
    <row r="1" spans="2:35" ht="23.25" customHeight="1" thickBot="1" x14ac:dyDescent="0.35">
      <c r="B1" s="3450" t="s">
        <v>2563</v>
      </c>
      <c r="C1" s="3451"/>
      <c r="D1" s="3451"/>
      <c r="E1" s="3451"/>
      <c r="F1" s="3451"/>
      <c r="G1" s="3451"/>
      <c r="H1" s="3451"/>
      <c r="I1" s="3451"/>
      <c r="J1" s="3451"/>
      <c r="K1" s="3451"/>
      <c r="L1" s="3451"/>
      <c r="M1" s="3451"/>
      <c r="N1" s="3451"/>
      <c r="O1" s="3451"/>
      <c r="P1" s="3452"/>
    </row>
    <row r="2" spans="2:35" ht="16.5" customHeight="1" x14ac:dyDescent="0.3">
      <c r="B2" s="3453" t="s">
        <v>1476</v>
      </c>
      <c r="C2" s="3454"/>
      <c r="D2" s="3454"/>
      <c r="E2" s="3454"/>
      <c r="F2" s="3454"/>
      <c r="G2" s="3454"/>
      <c r="H2" s="3454"/>
      <c r="I2" s="3454"/>
      <c r="J2" s="3454"/>
      <c r="K2" s="3454"/>
      <c r="L2" s="3454"/>
      <c r="M2" s="3454"/>
      <c r="N2" s="3454"/>
      <c r="O2" s="3454"/>
      <c r="P2" s="3455"/>
    </row>
    <row r="3" spans="2:35" x14ac:dyDescent="0.3">
      <c r="B3" s="1081" t="s">
        <v>1477</v>
      </c>
      <c r="C3" s="3446" t="s">
        <v>1051</v>
      </c>
      <c r="D3" s="3446"/>
      <c r="E3" s="3447" t="s">
        <v>1414</v>
      </c>
      <c r="F3" s="3448"/>
      <c r="G3" s="3446" t="s">
        <v>1430</v>
      </c>
      <c r="H3" s="3446"/>
      <c r="I3" s="3446" t="s">
        <v>1413</v>
      </c>
      <c r="J3" s="3446"/>
      <c r="K3" s="3446" t="s">
        <v>1432</v>
      </c>
      <c r="L3" s="3446"/>
      <c r="M3" s="3446" t="s">
        <v>1420</v>
      </c>
      <c r="N3" s="3446"/>
      <c r="O3" s="3446" t="s">
        <v>2428</v>
      </c>
      <c r="P3" s="3449"/>
      <c r="U3" s="156"/>
    </row>
    <row r="4" spans="2:35" ht="63" customHeight="1" x14ac:dyDescent="0.3">
      <c r="B4" s="1081"/>
      <c r="C4" s="1082" t="s">
        <v>1478</v>
      </c>
      <c r="D4" s="1082" t="s">
        <v>1479</v>
      </c>
      <c r="E4" s="1082" t="s">
        <v>1478</v>
      </c>
      <c r="F4" s="1082" t="s">
        <v>1479</v>
      </c>
      <c r="G4" s="1082" t="s">
        <v>1478</v>
      </c>
      <c r="H4" s="1082" t="s">
        <v>1479</v>
      </c>
      <c r="I4" s="1082" t="s">
        <v>1478</v>
      </c>
      <c r="J4" s="1082" t="s">
        <v>1479</v>
      </c>
      <c r="K4" s="1082" t="s">
        <v>1478</v>
      </c>
      <c r="L4" s="1082" t="s">
        <v>1479</v>
      </c>
      <c r="M4" s="1082" t="s">
        <v>2429</v>
      </c>
      <c r="N4" s="1082" t="s">
        <v>1479</v>
      </c>
      <c r="O4" s="1082" t="s">
        <v>1480</v>
      </c>
      <c r="P4" s="1083" t="s">
        <v>1479</v>
      </c>
      <c r="R4" s="53" t="s">
        <v>1477</v>
      </c>
      <c r="S4" s="12" t="s">
        <v>1511</v>
      </c>
      <c r="T4" s="5"/>
      <c r="V4" s="4" t="s">
        <v>1482</v>
      </c>
      <c r="W4" s="55" t="s">
        <v>1483</v>
      </c>
      <c r="X4" s="55" t="s">
        <v>112</v>
      </c>
      <c r="Y4" s="55" t="s">
        <v>1046</v>
      </c>
      <c r="Z4" s="55" t="s">
        <v>1045</v>
      </c>
      <c r="AA4" s="55" t="s">
        <v>1059</v>
      </c>
      <c r="AB4" s="55" t="s">
        <v>1050</v>
      </c>
      <c r="AC4" s="55" t="s">
        <v>1051</v>
      </c>
      <c r="AD4" s="55" t="s">
        <v>1049</v>
      </c>
      <c r="AE4" s="55" t="s">
        <v>1065</v>
      </c>
      <c r="AF4" s="55" t="s">
        <v>1066</v>
      </c>
      <c r="AG4" s="55" t="s">
        <v>1054</v>
      </c>
      <c r="AH4" s="55" t="s">
        <v>1157</v>
      </c>
      <c r="AI4" s="55" t="s">
        <v>148</v>
      </c>
    </row>
    <row r="5" spans="2:35" ht="21.75" customHeight="1" x14ac:dyDescent="0.3">
      <c r="B5" s="157" t="s">
        <v>1484</v>
      </c>
      <c r="C5" s="1084">
        <f>AC5</f>
        <v>0.26109215017064846</v>
      </c>
      <c r="D5" s="1084">
        <f>(C5*1000*1000)/$T5</f>
        <v>0.20738057996080098</v>
      </c>
      <c r="E5" s="1084">
        <f>AE5</f>
        <v>0.38300600153491937</v>
      </c>
      <c r="F5" s="1084">
        <f>(E5*1000*1000)/$T5</f>
        <v>0.30421445713655232</v>
      </c>
      <c r="G5" s="1084">
        <f>AF5</f>
        <v>3.1135041236768419</v>
      </c>
      <c r="H5" s="1084">
        <f>(G5*1000*1000)/$T5</f>
        <v>2.4729977153906608</v>
      </c>
      <c r="I5" s="1084">
        <f>AG5</f>
        <v>8.5349999999999995E-2</v>
      </c>
      <c r="J5" s="1084">
        <f>(I5*1000*1000)/$T5</f>
        <v>6.7791898332009534E-2</v>
      </c>
      <c r="K5" s="1084">
        <f>AH5</f>
        <v>0</v>
      </c>
      <c r="L5" s="1084">
        <f>(K5*1000*1000)/$T5</f>
        <v>0</v>
      </c>
      <c r="M5" s="1084">
        <f>AI5</f>
        <v>8.6957864923747269E-2</v>
      </c>
      <c r="N5" s="1084">
        <f>(M5*1000*1000)/$T5</f>
        <v>6.9068995173746844E-2</v>
      </c>
      <c r="O5" s="1084">
        <f>W5</f>
        <v>521.55587184709418</v>
      </c>
      <c r="P5" s="1084">
        <f>(O5*1000*1000)/$T5</f>
        <v>414.26201099848623</v>
      </c>
      <c r="R5" s="62" t="s">
        <v>1484</v>
      </c>
      <c r="S5" s="39">
        <f>VLOOKUP($R5,'6.3A'!$Q:$R,2,0)</f>
        <v>1259</v>
      </c>
      <c r="T5" s="4">
        <f t="shared" ref="T5:T47" si="0">+S5*1000</f>
        <v>1259000</v>
      </c>
      <c r="U5" s="43"/>
      <c r="V5" s="39" t="s">
        <v>1484</v>
      </c>
      <c r="W5" s="158">
        <f>VLOOKUP($V5,'6.3A'!$U:$AH,2,0)</f>
        <v>521.55587184709418</v>
      </c>
      <c r="X5" s="158">
        <f>VLOOKUP($V5,'6.3A'!$U:$AH,3,0)</f>
        <v>52.532097854000007</v>
      </c>
      <c r="Y5" s="158">
        <f>VLOOKUP($V5,'6.3A'!$U:$AH,4,0)</f>
        <v>0</v>
      </c>
      <c r="Z5" s="158">
        <f>VLOOKUP($V5,'6.3A'!$U:$AH,5,0)</f>
        <v>138.57027809355074</v>
      </c>
      <c r="AA5" s="158">
        <f>VLOOKUP($V5,'6.3A'!$U:$AH,6,0)</f>
        <v>0.1696498054474708</v>
      </c>
      <c r="AB5" s="158">
        <f>VLOOKUP($V5,'6.3A'!$U:$AH,7,0)</f>
        <v>258.24057790082645</v>
      </c>
      <c r="AC5" s="158">
        <f>VLOOKUP($V5,'6.3A'!$U:$AH,8,0)</f>
        <v>0.26109215017064846</v>
      </c>
      <c r="AD5" s="158">
        <f>VLOOKUP($V5,'6.3A'!$U:$AH,9,0)</f>
        <v>68.113358052963321</v>
      </c>
      <c r="AE5" s="158">
        <f>VLOOKUP($V5,'6.3A'!$U:$AH,10,0)</f>
        <v>0.38300600153491937</v>
      </c>
      <c r="AF5" s="158">
        <f>VLOOKUP($V5,'6.3A'!$U:$AH,11,0)</f>
        <v>3.1135041236768419</v>
      </c>
      <c r="AG5" s="158">
        <f>VLOOKUP($V5,'6.3A'!$U:$AH,12,0)</f>
        <v>8.5349999999999995E-2</v>
      </c>
      <c r="AH5" s="158">
        <f>VLOOKUP($V5,'6.3A'!$U:$AH,13,0)</f>
        <v>0</v>
      </c>
      <c r="AI5" s="158">
        <f>VLOOKUP($V5,'6.3A'!$U:$AH,14,0)</f>
        <v>8.6957864923747269E-2</v>
      </c>
    </row>
    <row r="6" spans="2:35" ht="21.75" customHeight="1" x14ac:dyDescent="0.3">
      <c r="B6" s="157" t="s">
        <v>1485</v>
      </c>
      <c r="C6" s="1084">
        <f t="shared" ref="C6:C43" si="1">AC6</f>
        <v>0</v>
      </c>
      <c r="D6" s="1298">
        <f t="shared" ref="D6:F47" si="2">(C6*1000*1000)/$T6</f>
        <v>0</v>
      </c>
      <c r="E6" s="1084">
        <f t="shared" ref="E6:E43" si="3">AE6</f>
        <v>0</v>
      </c>
      <c r="F6" s="1298">
        <f t="shared" si="2"/>
        <v>0</v>
      </c>
      <c r="G6" s="1084">
        <f t="shared" ref="G6:G43" si="4">AF6</f>
        <v>16.912992379486557</v>
      </c>
      <c r="H6" s="1084">
        <f t="shared" ref="H6:H47" si="5">(G6*1000*1000)/$T6</f>
        <v>0.75921319654740571</v>
      </c>
      <c r="I6" s="1084">
        <f t="shared" ref="I6:I43" si="6">AG6</f>
        <v>0.19361999999999996</v>
      </c>
      <c r="J6" s="1298">
        <f t="shared" ref="J6:J47" si="7">(I6*1000*1000)/$T6</f>
        <v>8.6914755128607961E-3</v>
      </c>
      <c r="K6" s="1084">
        <f t="shared" ref="K6:K43" si="8">AH6</f>
        <v>0</v>
      </c>
      <c r="L6" s="1298">
        <f t="shared" ref="L6:L47" si="9">(K6*1000*1000)/$T6</f>
        <v>0</v>
      </c>
      <c r="M6" s="1084">
        <f t="shared" ref="M6:M43" si="10">AI6</f>
        <v>10.709477464951911</v>
      </c>
      <c r="N6" s="1084">
        <f t="shared" ref="N6:N47" si="11">(M6*1000*1000)/$T6</f>
        <v>0.48074145822830328</v>
      </c>
      <c r="O6" s="1084">
        <f t="shared" ref="O6:O43" si="12">W6</f>
        <v>4957.4505827124312</v>
      </c>
      <c r="P6" s="1084">
        <f t="shared" ref="P6:P47" si="13">(O6*1000*1000)/$T6</f>
        <v>222.53672319937297</v>
      </c>
      <c r="R6" s="62" t="s">
        <v>1485</v>
      </c>
      <c r="S6" s="39">
        <f>VLOOKUP($R6,'6.3A'!$Q:$R,2,0)</f>
        <v>22277</v>
      </c>
      <c r="T6" s="4">
        <f t="shared" si="0"/>
        <v>22277000</v>
      </c>
      <c r="U6" s="43"/>
      <c r="V6" s="39" t="s">
        <v>1485</v>
      </c>
      <c r="W6" s="158">
        <f>VLOOKUP($V6,'6.3A'!$U:$AH,2,0)</f>
        <v>4957.4505827124312</v>
      </c>
      <c r="X6" s="158">
        <f>VLOOKUP($V6,'6.3A'!$U:$AH,3,0)</f>
        <v>780.2176942159989</v>
      </c>
      <c r="Y6" s="158">
        <f>VLOOKUP($V6,'6.3A'!$U:$AH,4,0)</f>
        <v>0</v>
      </c>
      <c r="Z6" s="158">
        <f>VLOOKUP($V6,'6.3A'!$U:$AH,5,0)</f>
        <v>1088.6116323855424</v>
      </c>
      <c r="AA6" s="158">
        <f>VLOOKUP($V6,'6.3A'!$U:$AH,6,0)</f>
        <v>0.10675175097276265</v>
      </c>
      <c r="AB6" s="158">
        <f>VLOOKUP($V6,'6.3A'!$U:$AH,7,0)</f>
        <v>514.63480716528886</v>
      </c>
      <c r="AC6" s="158">
        <f>VLOOKUP($V6,'6.3A'!$U:$AH,8,0)</f>
        <v>0</v>
      </c>
      <c r="AD6" s="158">
        <f>VLOOKUP($V6,'6.3A'!$U:$AH,9,0)</f>
        <v>2546.0636073501896</v>
      </c>
      <c r="AE6" s="158">
        <f>VLOOKUP($V6,'6.3A'!$U:$AH,10,0)</f>
        <v>0</v>
      </c>
      <c r="AF6" s="158">
        <f>VLOOKUP($V6,'6.3A'!$U:$AH,11,0)</f>
        <v>16.912992379486557</v>
      </c>
      <c r="AG6" s="158">
        <f>VLOOKUP($V6,'6.3A'!$U:$AH,12,0)</f>
        <v>0.19361999999999996</v>
      </c>
      <c r="AH6" s="158">
        <f>VLOOKUP($V6,'6.3A'!$U:$AH,13,0)</f>
        <v>0</v>
      </c>
      <c r="AI6" s="158">
        <f>VLOOKUP($V6,'6.3A'!$U:$AH,14,0)</f>
        <v>10.709477464951911</v>
      </c>
    </row>
    <row r="7" spans="2:35" ht="21.75" customHeight="1" x14ac:dyDescent="0.3">
      <c r="B7" s="157" t="s">
        <v>507</v>
      </c>
      <c r="C7" s="1084">
        <f t="shared" si="1"/>
        <v>17.924710068259387</v>
      </c>
      <c r="D7" s="1084">
        <f t="shared" si="2"/>
        <v>0.57941266059798902</v>
      </c>
      <c r="E7" s="1084">
        <f t="shared" si="3"/>
        <v>42.875466999999993</v>
      </c>
      <c r="F7" s="1084">
        <f t="shared" si="2"/>
        <v>1.3859408779415567</v>
      </c>
      <c r="G7" s="1084">
        <f t="shared" si="4"/>
        <v>54.466564677533398</v>
      </c>
      <c r="H7" s="1084">
        <f t="shared" si="5"/>
        <v>1.7606207873523854</v>
      </c>
      <c r="I7" s="1084">
        <f t="shared" si="6"/>
        <v>223.67446699999991</v>
      </c>
      <c r="J7" s="1084">
        <f t="shared" si="7"/>
        <v>7.2302323183346235</v>
      </c>
      <c r="K7" s="1084">
        <f t="shared" si="8"/>
        <v>0</v>
      </c>
      <c r="L7" s="1084">
        <f t="shared" si="9"/>
        <v>0</v>
      </c>
      <c r="M7" s="1084">
        <f t="shared" si="10"/>
        <v>162.21494938850685</v>
      </c>
      <c r="N7" s="1084">
        <f t="shared" si="11"/>
        <v>5.2435657288759652</v>
      </c>
      <c r="O7" s="1084">
        <f t="shared" si="12"/>
        <v>10907.545004328322</v>
      </c>
      <c r="P7" s="1084">
        <f t="shared" si="13"/>
        <v>352.58420624283428</v>
      </c>
      <c r="R7" s="62" t="s">
        <v>507</v>
      </c>
      <c r="S7" s="39">
        <f>VLOOKUP($R7,'6.3A'!$Q:$R,2,0)</f>
        <v>30936</v>
      </c>
      <c r="T7" s="4">
        <f t="shared" si="0"/>
        <v>30936000</v>
      </c>
      <c r="U7" s="43"/>
      <c r="V7" s="39" t="s">
        <v>507</v>
      </c>
      <c r="W7" s="158">
        <f>VLOOKUP($V7,'6.3A'!$U:$AH,2,0)</f>
        <v>10907.545004328322</v>
      </c>
      <c r="X7" s="158">
        <f>VLOOKUP($V7,'6.3A'!$U:$AH,3,0)</f>
        <v>1145.8867523999993</v>
      </c>
      <c r="Y7" s="158">
        <f>VLOOKUP($V7,'6.3A'!$U:$AH,4,0)</f>
        <v>3338.9906800000003</v>
      </c>
      <c r="Z7" s="158">
        <f>VLOOKUP($V7,'6.3A'!$U:$AH,5,0)</f>
        <v>1528.4504665277359</v>
      </c>
      <c r="AA7" s="158">
        <f>VLOOKUP($V7,'6.3A'!$U:$AH,6,0)</f>
        <v>0.73229571984435793</v>
      </c>
      <c r="AB7" s="158">
        <f>VLOOKUP($V7,'6.3A'!$U:$AH,7,0)</f>
        <v>4372.3035661427148</v>
      </c>
      <c r="AC7" s="158">
        <f>VLOOKUP($V7,'6.3A'!$U:$AH,8,0)</f>
        <v>17.924710068259387</v>
      </c>
      <c r="AD7" s="158">
        <f>VLOOKUP($V7,'6.3A'!$U:$AH,9,0)</f>
        <v>20.02508540372671</v>
      </c>
      <c r="AE7" s="158">
        <f>VLOOKUP($V7,'6.3A'!$U:$AH,10,0)</f>
        <v>42.875466999999993</v>
      </c>
      <c r="AF7" s="158">
        <f>VLOOKUP($V7,'6.3A'!$U:$AH,11,0)</f>
        <v>54.466564677533398</v>
      </c>
      <c r="AG7" s="158">
        <f>VLOOKUP($V7,'6.3A'!$U:$AH,12,0)</f>
        <v>223.67446699999991</v>
      </c>
      <c r="AH7" s="158">
        <f>VLOOKUP($V7,'6.3A'!$U:$AH,13,0)</f>
        <v>0</v>
      </c>
      <c r="AI7" s="158">
        <f>VLOOKUP($V7,'6.3A'!$U:$AH,14,0)</f>
        <v>162.21494938850685</v>
      </c>
    </row>
    <row r="8" spans="2:35" ht="21.75" customHeight="1" x14ac:dyDescent="0.3">
      <c r="B8" s="157" t="s">
        <v>538</v>
      </c>
      <c r="C8" s="1084">
        <f t="shared" si="1"/>
        <v>4.0955238907849828E-2</v>
      </c>
      <c r="D8" s="1084">
        <f t="shared" si="2"/>
        <v>5.430288903188786E-3</v>
      </c>
      <c r="E8" s="1084">
        <f t="shared" si="3"/>
        <v>8.1376320030698377</v>
      </c>
      <c r="F8" s="1084">
        <f t="shared" si="2"/>
        <v>1.0789753385136354</v>
      </c>
      <c r="G8" s="1084">
        <f t="shared" si="4"/>
        <v>13.362309777854582</v>
      </c>
      <c r="H8" s="1084">
        <f t="shared" si="5"/>
        <v>1.7717196735421086</v>
      </c>
      <c r="I8" s="1084">
        <f t="shared" si="6"/>
        <v>72.474185999999975</v>
      </c>
      <c r="J8" s="1084">
        <f t="shared" si="7"/>
        <v>9.6094120922832094</v>
      </c>
      <c r="K8" s="1084">
        <f t="shared" si="8"/>
        <v>421.75990000000007</v>
      </c>
      <c r="L8" s="1299">
        <f t="shared" si="9"/>
        <v>55.921492972686295</v>
      </c>
      <c r="M8" s="1084">
        <f t="shared" si="10"/>
        <v>12.035063703128857</v>
      </c>
      <c r="N8" s="1084">
        <f t="shared" si="11"/>
        <v>1.5957390218945715</v>
      </c>
      <c r="O8" s="1084">
        <f t="shared" si="12"/>
        <v>1903.9706613957555</v>
      </c>
      <c r="P8" s="1084">
        <f t="shared" si="13"/>
        <v>252.44904022749344</v>
      </c>
      <c r="R8" s="62" t="s">
        <v>538</v>
      </c>
      <c r="S8" s="39">
        <f>VLOOKUP($R8,'6.3A'!$Q:$R,2,0)</f>
        <v>7542</v>
      </c>
      <c r="T8" s="4">
        <f t="shared" si="0"/>
        <v>7542000</v>
      </c>
      <c r="U8" s="43"/>
      <c r="V8" s="39" t="s">
        <v>538</v>
      </c>
      <c r="W8" s="158">
        <f>VLOOKUP($V8,'6.3A'!$U:$AH,2,0)</f>
        <v>1903.9706613957555</v>
      </c>
      <c r="X8" s="158">
        <f>VLOOKUP($V8,'6.3A'!$U:$AH,3,0)</f>
        <v>213.28640111799967</v>
      </c>
      <c r="Y8" s="158">
        <f>VLOOKUP($V8,'6.3A'!$U:$AH,4,0)</f>
        <v>0</v>
      </c>
      <c r="Z8" s="158">
        <f>VLOOKUP($V8,'6.3A'!$U:$AH,5,0)</f>
        <v>380.23607686747033</v>
      </c>
      <c r="AA8" s="158">
        <f>VLOOKUP($V8,'6.3A'!$U:$AH,6,0)</f>
        <v>3.4101989416342384</v>
      </c>
      <c r="AB8" s="158">
        <f>VLOOKUP($V8,'6.3A'!$U:$AH,7,0)</f>
        <v>778.39188008264694</v>
      </c>
      <c r="AC8" s="158">
        <f>VLOOKUP($V8,'6.3A'!$U:$AH,8,0)</f>
        <v>4.0955238907849828E-2</v>
      </c>
      <c r="AD8" s="158">
        <f>VLOOKUP($V8,'6.3A'!$U:$AH,9,0)</f>
        <v>0.83605766304347806</v>
      </c>
      <c r="AE8" s="158">
        <f>VLOOKUP($V8,'6.3A'!$U:$AH,10,0)</f>
        <v>8.1376320030698377</v>
      </c>
      <c r="AF8" s="158">
        <f>VLOOKUP($V8,'6.3A'!$U:$AH,11,0)</f>
        <v>13.362309777854582</v>
      </c>
      <c r="AG8" s="158">
        <f>VLOOKUP($V8,'6.3A'!$U:$AH,12,0)</f>
        <v>72.474185999999975</v>
      </c>
      <c r="AH8" s="158">
        <f>VLOOKUP($V8,'6.3A'!$U:$AH,13,0)</f>
        <v>421.75990000000007</v>
      </c>
      <c r="AI8" s="158">
        <f>VLOOKUP($V8,'6.3A'!$U:$AH,14,0)</f>
        <v>12.035063703128857</v>
      </c>
    </row>
    <row r="9" spans="2:35" ht="21.75" customHeight="1" x14ac:dyDescent="0.3">
      <c r="B9" s="157" t="s">
        <v>1486</v>
      </c>
      <c r="C9" s="1084">
        <f t="shared" si="1"/>
        <v>0</v>
      </c>
      <c r="D9" s="1084">
        <f t="shared" si="2"/>
        <v>0</v>
      </c>
      <c r="E9" s="1084">
        <f t="shared" si="3"/>
        <v>4.5041341159663864</v>
      </c>
      <c r="F9" s="1084">
        <f t="shared" si="2"/>
        <v>0.32643383939457793</v>
      </c>
      <c r="G9" s="1084">
        <f t="shared" si="4"/>
        <v>9.7377746874757793</v>
      </c>
      <c r="H9" s="1084">
        <f t="shared" si="5"/>
        <v>0.70573812780662271</v>
      </c>
      <c r="I9" s="1084">
        <f t="shared" si="6"/>
        <v>41.124561000000007</v>
      </c>
      <c r="J9" s="1084">
        <f t="shared" si="7"/>
        <v>2.9804726047253229</v>
      </c>
      <c r="K9" s="1084">
        <f t="shared" si="8"/>
        <v>77.132519999999985</v>
      </c>
      <c r="L9" s="1084">
        <f t="shared" si="9"/>
        <v>5.5901232062617758</v>
      </c>
      <c r="M9" s="1084">
        <f t="shared" si="10"/>
        <v>6.8767470110738005</v>
      </c>
      <c r="N9" s="1084">
        <f t="shared" si="11"/>
        <v>0.49838723083590381</v>
      </c>
      <c r="O9" s="1084">
        <f t="shared" si="12"/>
        <v>1786.5202657553375</v>
      </c>
      <c r="P9" s="1084">
        <f t="shared" si="13"/>
        <v>129.47675501923015</v>
      </c>
      <c r="R9" s="62" t="s">
        <v>1521</v>
      </c>
      <c r="S9" s="39">
        <f>VLOOKUP($R9,'6.3A'!$Q:$R,2,0)</f>
        <v>13798</v>
      </c>
      <c r="T9" s="4">
        <f t="shared" si="0"/>
        <v>13798000</v>
      </c>
      <c r="U9" s="43"/>
      <c r="V9" s="159" t="s">
        <v>1487</v>
      </c>
      <c r="W9" s="158">
        <f>VLOOKUP($V9,'6.3A'!$U:$AH,2,0)</f>
        <v>1786.5202657553375</v>
      </c>
      <c r="X9" s="158">
        <f>VLOOKUP($V9,'6.3A'!$U:$AH,3,0)</f>
        <v>256.82623687399962</v>
      </c>
      <c r="Y9" s="158">
        <f>VLOOKUP($V9,'6.3A'!$U:$AH,4,0)</f>
        <v>0</v>
      </c>
      <c r="Z9" s="158">
        <f>VLOOKUP($V9,'6.3A'!$U:$AH,5,0)</f>
        <v>431.8371908221103</v>
      </c>
      <c r="AA9" s="158">
        <f>VLOOKUP($V9,'6.3A'!$U:$AH,6,0)</f>
        <v>40.869270054474619</v>
      </c>
      <c r="AB9" s="158">
        <f>VLOOKUP($V9,'6.3A'!$U:$AH,7,0)</f>
        <v>885.43149461487667</v>
      </c>
      <c r="AC9" s="158">
        <f>VLOOKUP($V9,'6.3A'!$U:$AH,8,0)</f>
        <v>0</v>
      </c>
      <c r="AD9" s="158">
        <f>VLOOKUP($V9,'6.3A'!$U:$AH,9,0)</f>
        <v>32.180336575360258</v>
      </c>
      <c r="AE9" s="158">
        <f>VLOOKUP($V9,'6.3A'!$U:$AH,10,0)</f>
        <v>4.5041341159663864</v>
      </c>
      <c r="AF9" s="158">
        <f>VLOOKUP($V9,'6.3A'!$U:$AH,11,0)</f>
        <v>9.7377746874757793</v>
      </c>
      <c r="AG9" s="158">
        <f>VLOOKUP($V9,'6.3A'!$U:$AH,12,0)</f>
        <v>41.124561000000007</v>
      </c>
      <c r="AH9" s="158">
        <f>VLOOKUP($V9,'6.3A'!$U:$AH,13,0)</f>
        <v>77.132519999999985</v>
      </c>
      <c r="AI9" s="158">
        <f>VLOOKUP($V9,'6.3A'!$U:$AH,14,0)</f>
        <v>6.8767470110738005</v>
      </c>
    </row>
    <row r="10" spans="2:35" ht="21.75" customHeight="1" x14ac:dyDescent="0.3">
      <c r="B10" s="157" t="s">
        <v>1488</v>
      </c>
      <c r="C10" s="1084">
        <f t="shared" si="1"/>
        <v>1.7064846416382253E-2</v>
      </c>
      <c r="D10" s="1084">
        <f t="shared" si="2"/>
        <v>5.6134363211783729E-2</v>
      </c>
      <c r="E10" s="1084">
        <f t="shared" si="3"/>
        <v>0</v>
      </c>
      <c r="F10" s="1084">
        <f t="shared" si="2"/>
        <v>0</v>
      </c>
      <c r="G10" s="1084">
        <f t="shared" si="4"/>
        <v>0.32127248035368011</v>
      </c>
      <c r="H10" s="1084">
        <f t="shared" si="5"/>
        <v>1.0568173695844743</v>
      </c>
      <c r="I10" s="1084">
        <f t="shared" si="6"/>
        <v>26.931723999999996</v>
      </c>
      <c r="J10" s="1299">
        <f t="shared" si="7"/>
        <v>88.591197368421035</v>
      </c>
      <c r="K10" s="1084">
        <f t="shared" si="8"/>
        <v>0</v>
      </c>
      <c r="L10" s="1084">
        <f t="shared" si="9"/>
        <v>0</v>
      </c>
      <c r="M10" s="1084">
        <f t="shared" si="10"/>
        <v>0.25019607843137259</v>
      </c>
      <c r="N10" s="1084">
        <f t="shared" si="11"/>
        <v>0.82301341589267296</v>
      </c>
      <c r="O10" s="1084">
        <f t="shared" si="12"/>
        <v>215.9671924419147</v>
      </c>
      <c r="P10" s="1299">
        <f t="shared" si="13"/>
        <v>710.41839619050893</v>
      </c>
      <c r="R10" s="59" t="s">
        <v>1488</v>
      </c>
      <c r="S10" s="39">
        <f>VLOOKUP($R10,'6.3A'!$Q:$R,2,0)</f>
        <v>304</v>
      </c>
      <c r="T10" s="4">
        <f t="shared" si="0"/>
        <v>304000</v>
      </c>
      <c r="U10" s="43"/>
      <c r="V10" s="39" t="s">
        <v>1488</v>
      </c>
      <c r="W10" s="158">
        <f>VLOOKUP($V10,'6.3A'!$U:$AH,2,0)</f>
        <v>215.9671924419147</v>
      </c>
      <c r="X10" s="158">
        <f>VLOOKUP($V10,'6.3A'!$U:$AH,3,0)</f>
        <v>10.476405207000001</v>
      </c>
      <c r="Y10" s="158">
        <f>VLOOKUP($V10,'6.3A'!$U:$AH,4,0)</f>
        <v>0</v>
      </c>
      <c r="Z10" s="158">
        <f>VLOOKUP($V10,'6.3A'!$U:$AH,5,0)</f>
        <v>23.65633183557761</v>
      </c>
      <c r="AA10" s="158">
        <f>VLOOKUP($V10,'6.3A'!$U:$AH,6,0)</f>
        <v>48.888724793774301</v>
      </c>
      <c r="AB10" s="158">
        <f>VLOOKUP($V10,'6.3A'!$U:$AH,7,0)</f>
        <v>102.31399808925619</v>
      </c>
      <c r="AC10" s="158">
        <f>VLOOKUP($V10,'6.3A'!$U:$AH,8,0)</f>
        <v>1.7064846416382253E-2</v>
      </c>
      <c r="AD10" s="158">
        <f>VLOOKUP($V10,'6.3A'!$U:$AH,9,0)</f>
        <v>3.1114751111051615</v>
      </c>
      <c r="AE10" s="158">
        <f>VLOOKUP($V10,'6.3A'!$U:$AH,10,0)</f>
        <v>0</v>
      </c>
      <c r="AF10" s="158">
        <f>VLOOKUP($V10,'6.3A'!$U:$AH,11,0)</f>
        <v>0.32127248035368011</v>
      </c>
      <c r="AG10" s="158">
        <f>VLOOKUP($V10,'6.3A'!$U:$AH,12,0)</f>
        <v>26.931723999999996</v>
      </c>
      <c r="AH10" s="158">
        <f>VLOOKUP($V10,'6.3A'!$U:$AH,13,0)</f>
        <v>0</v>
      </c>
      <c r="AI10" s="158">
        <f>VLOOKUP($V10,'6.3A'!$U:$AH,14,0)</f>
        <v>0.25019607843137259</v>
      </c>
    </row>
    <row r="11" spans="2:35" ht="21.75" customHeight="1" x14ac:dyDescent="0.3">
      <c r="B11" s="157" t="s">
        <v>645</v>
      </c>
      <c r="C11" s="1084">
        <f t="shared" si="1"/>
        <v>59.23801179180888</v>
      </c>
      <c r="D11" s="1084">
        <f t="shared" si="2"/>
        <v>1.9034127559864045</v>
      </c>
      <c r="E11" s="1084">
        <f t="shared" si="3"/>
        <v>117.23652622406276</v>
      </c>
      <c r="F11" s="1084">
        <f t="shared" si="2"/>
        <v>3.7669984648821662</v>
      </c>
      <c r="G11" s="1084">
        <f t="shared" si="4"/>
        <v>49.177098533759413</v>
      </c>
      <c r="H11" s="1084">
        <f t="shared" si="5"/>
        <v>1.5801394040794103</v>
      </c>
      <c r="I11" s="1084">
        <f t="shared" si="6"/>
        <v>133.3480800000001</v>
      </c>
      <c r="J11" s="1084">
        <f t="shared" si="7"/>
        <v>4.2846886446886483</v>
      </c>
      <c r="K11" s="1084">
        <f t="shared" si="8"/>
        <v>437.18005999999991</v>
      </c>
      <c r="L11" s="1084">
        <f t="shared" si="9"/>
        <v>14.047299659404921</v>
      </c>
      <c r="M11" s="1084">
        <f t="shared" si="10"/>
        <v>156.53386207268608</v>
      </c>
      <c r="N11" s="1084">
        <f t="shared" si="11"/>
        <v>5.0296851768101689</v>
      </c>
      <c r="O11" s="1084">
        <f t="shared" si="12"/>
        <v>6926.0132730249916</v>
      </c>
      <c r="P11" s="1084">
        <f t="shared" si="13"/>
        <v>222.54396481668888</v>
      </c>
      <c r="R11" s="62" t="s">
        <v>645</v>
      </c>
      <c r="S11" s="39">
        <f>VLOOKUP($R11,'6.3A'!$Q:$R,2,0)</f>
        <v>31122</v>
      </c>
      <c r="T11" s="4">
        <f t="shared" si="0"/>
        <v>31122000</v>
      </c>
      <c r="U11" s="43"/>
      <c r="V11" s="39" t="s">
        <v>645</v>
      </c>
      <c r="W11" s="158">
        <f>VLOOKUP($V11,'6.3A'!$U:$AH,2,0)</f>
        <v>6926.0132730249916</v>
      </c>
      <c r="X11" s="158">
        <f>VLOOKUP($V11,'6.3A'!$U:$AH,3,0)</f>
        <v>1073.8933903400034</v>
      </c>
      <c r="Y11" s="158">
        <f>VLOOKUP($V11,'6.3A'!$U:$AH,4,0)</f>
        <v>78.485669999999999</v>
      </c>
      <c r="Z11" s="158">
        <f>VLOOKUP($V11,'6.3A'!$U:$AH,5,0)</f>
        <v>1302.2900725494044</v>
      </c>
      <c r="AA11" s="158">
        <f>VLOOKUP($V11,'6.3A'!$U:$AH,6,0)</f>
        <v>0.49683282490272374</v>
      </c>
      <c r="AB11" s="158">
        <f>VLOOKUP($V11,'6.3A'!$U:$AH,7,0)</f>
        <v>3406.7863012010616</v>
      </c>
      <c r="AC11" s="158">
        <f>VLOOKUP($V11,'6.3A'!$U:$AH,8,0)</f>
        <v>59.23801179180888</v>
      </c>
      <c r="AD11" s="158">
        <f>VLOOKUP($V11,'6.3A'!$U:$AH,9,0)</f>
        <v>111.34736748730212</v>
      </c>
      <c r="AE11" s="158">
        <f>VLOOKUP($V11,'6.3A'!$U:$AH,10,0)</f>
        <v>117.23652622406276</v>
      </c>
      <c r="AF11" s="158">
        <f>VLOOKUP($V11,'6.3A'!$U:$AH,11,0)</f>
        <v>49.177098533759413</v>
      </c>
      <c r="AG11" s="158">
        <f>VLOOKUP($V11,'6.3A'!$U:$AH,12,0)</f>
        <v>133.3480800000001</v>
      </c>
      <c r="AH11" s="158">
        <f>VLOOKUP($V11,'6.3A'!$U:$AH,13,0)</f>
        <v>437.18005999999991</v>
      </c>
      <c r="AI11" s="158">
        <f>VLOOKUP($V11,'6.3A'!$U:$AH,14,0)</f>
        <v>156.53386207268608</v>
      </c>
    </row>
    <row r="12" spans="2:35" ht="21.75" customHeight="1" x14ac:dyDescent="0.3">
      <c r="B12" s="157" t="s">
        <v>223</v>
      </c>
      <c r="C12" s="1084">
        <f t="shared" si="1"/>
        <v>46.037872764505082</v>
      </c>
      <c r="D12" s="1084">
        <f t="shared" si="2"/>
        <v>0.55621448307967958</v>
      </c>
      <c r="E12" s="1084">
        <f t="shared" si="3"/>
        <v>65.260500999999962</v>
      </c>
      <c r="F12" s="1084">
        <f t="shared" si="2"/>
        <v>0.78845597438685466</v>
      </c>
      <c r="G12" s="1084">
        <f t="shared" si="4"/>
        <v>66.925070015577973</v>
      </c>
      <c r="H12" s="1084">
        <f t="shared" si="5"/>
        <v>0.80856675142657941</v>
      </c>
      <c r="I12" s="1084">
        <f t="shared" si="6"/>
        <v>210.43456000000018</v>
      </c>
      <c r="J12" s="1084">
        <f t="shared" si="7"/>
        <v>2.5424013531472776</v>
      </c>
      <c r="K12" s="1084">
        <f t="shared" si="8"/>
        <v>1367.2083299999993</v>
      </c>
      <c r="L12" s="1084">
        <f t="shared" si="9"/>
        <v>16.51816274012322</v>
      </c>
      <c r="M12" s="1084">
        <f t="shared" si="10"/>
        <v>89.715076633679033</v>
      </c>
      <c r="N12" s="1084">
        <f t="shared" si="11"/>
        <v>1.0839081386212279</v>
      </c>
      <c r="O12" s="1084">
        <f t="shared" si="12"/>
        <v>12096.62427937682</v>
      </c>
      <c r="P12" s="1084">
        <f t="shared" si="13"/>
        <v>146.14744810168926</v>
      </c>
      <c r="R12" s="62" t="s">
        <v>223</v>
      </c>
      <c r="S12" s="39">
        <f>VLOOKUP($R12,'6.3A'!$Q:$R,2,0)</f>
        <v>82770</v>
      </c>
      <c r="T12" s="4">
        <f t="shared" si="0"/>
        <v>82770000</v>
      </c>
      <c r="U12" s="43"/>
      <c r="V12" s="39" t="s">
        <v>223</v>
      </c>
      <c r="W12" s="158">
        <f>VLOOKUP($V12,'6.3A'!$U:$AH,2,0)</f>
        <v>12096.62427937682</v>
      </c>
      <c r="X12" s="158">
        <f>VLOOKUP($V12,'6.3A'!$U:$AH,3,0)</f>
        <v>1769.3369621800014</v>
      </c>
      <c r="Y12" s="158">
        <f>VLOOKUP($V12,'6.3A'!$U:$AH,4,0)</f>
        <v>0.32401000000000002</v>
      </c>
      <c r="Z12" s="158">
        <f>VLOOKUP($V12,'6.3A'!$U:$AH,5,0)</f>
        <v>2160.0572248659828</v>
      </c>
      <c r="AA12" s="158">
        <f>VLOOKUP($V12,'6.3A'!$U:$AH,6,0)</f>
        <v>0.93385262256809276</v>
      </c>
      <c r="AB12" s="158">
        <f>VLOOKUP($V12,'6.3A'!$U:$AH,7,0)</f>
        <v>6169.8235704746294</v>
      </c>
      <c r="AC12" s="158">
        <f>VLOOKUP($V12,'6.3A'!$U:$AH,8,0)</f>
        <v>46.037872764505082</v>
      </c>
      <c r="AD12" s="158">
        <f>VLOOKUP($V12,'6.3A'!$U:$AH,9,0)</f>
        <v>150.56724881987583</v>
      </c>
      <c r="AE12" s="158">
        <f>VLOOKUP($V12,'6.3A'!$U:$AH,10,0)</f>
        <v>65.260500999999962</v>
      </c>
      <c r="AF12" s="158">
        <f>VLOOKUP($V12,'6.3A'!$U:$AH,11,0)</f>
        <v>66.925070015577973</v>
      </c>
      <c r="AG12" s="158">
        <f>VLOOKUP($V12,'6.3A'!$U:$AH,12,0)</f>
        <v>210.43456000000018</v>
      </c>
      <c r="AH12" s="158">
        <f>VLOOKUP($V12,'6.3A'!$U:$AH,13,0)</f>
        <v>1367.2083299999993</v>
      </c>
      <c r="AI12" s="158">
        <f>VLOOKUP($V12,'6.3A'!$U:$AH,14,0)</f>
        <v>89.715076633679033</v>
      </c>
    </row>
    <row r="13" spans="2:35" ht="21.75" customHeight="1" x14ac:dyDescent="0.3">
      <c r="B13" s="157" t="s">
        <v>709</v>
      </c>
      <c r="C13" s="1084">
        <f t="shared" si="1"/>
        <v>153.77440964163827</v>
      </c>
      <c r="D13" s="1084">
        <f t="shared" si="2"/>
        <v>0.63947972138346176</v>
      </c>
      <c r="E13" s="1084">
        <f t="shared" si="3"/>
        <v>119.42239311940304</v>
      </c>
      <c r="F13" s="1084">
        <f t="shared" si="2"/>
        <v>0.49662488613621375</v>
      </c>
      <c r="G13" s="1084">
        <f t="shared" si="4"/>
        <v>92.386185490658562</v>
      </c>
      <c r="H13" s="1084">
        <f t="shared" si="5"/>
        <v>0.38419326268218046</v>
      </c>
      <c r="I13" s="1084">
        <f t="shared" si="6"/>
        <v>845.28005200000041</v>
      </c>
      <c r="J13" s="1084">
        <f t="shared" si="7"/>
        <v>3.5151456825856262</v>
      </c>
      <c r="K13" s="1084">
        <f t="shared" si="8"/>
        <v>24.461580000000001</v>
      </c>
      <c r="L13" s="1084">
        <f t="shared" si="9"/>
        <v>0.10172488647138081</v>
      </c>
      <c r="M13" s="1084">
        <f t="shared" si="10"/>
        <v>414.95863643665416</v>
      </c>
      <c r="N13" s="1084">
        <f t="shared" si="11"/>
        <v>1.7256293412705814</v>
      </c>
      <c r="O13" s="1084">
        <f t="shared" si="12"/>
        <v>22559.72497842892</v>
      </c>
      <c r="P13" s="1084">
        <f t="shared" si="13"/>
        <v>93.815913046346793</v>
      </c>
      <c r="R13" s="62" t="s">
        <v>709</v>
      </c>
      <c r="S13" s="39">
        <f>VLOOKUP($R13,'6.3A'!$Q:$R,2,0)</f>
        <v>240468</v>
      </c>
      <c r="T13" s="4">
        <f t="shared" si="0"/>
        <v>240468000</v>
      </c>
      <c r="U13" s="43"/>
      <c r="V13" s="39" t="s">
        <v>709</v>
      </c>
      <c r="W13" s="158">
        <f>VLOOKUP($V13,'6.3A'!$U:$AH,2,0)</f>
        <v>22559.72497842892</v>
      </c>
      <c r="X13" s="158">
        <f>VLOOKUP($V13,'6.3A'!$U:$AH,3,0)</f>
        <v>4542.9306217739631</v>
      </c>
      <c r="Y13" s="158">
        <f>VLOOKUP($V13,'6.3A'!$U:$AH,4,0)</f>
        <v>0.91868000000000005</v>
      </c>
      <c r="Z13" s="158">
        <f>VLOOKUP($V13,'6.3A'!$U:$AH,5,0)</f>
        <v>5157.8417251192777</v>
      </c>
      <c r="AA13" s="158">
        <f>VLOOKUP($V13,'6.3A'!$U:$AH,6,0)</f>
        <v>1.3636193385213995</v>
      </c>
      <c r="AB13" s="158">
        <f>VLOOKUP($V13,'6.3A'!$U:$AH,7,0)</f>
        <v>10877.575579419057</v>
      </c>
      <c r="AC13" s="158">
        <f>VLOOKUP($V13,'6.3A'!$U:$AH,8,0)</f>
        <v>153.77440964163827</v>
      </c>
      <c r="AD13" s="158">
        <f>VLOOKUP($V13,'6.3A'!$U:$AH,9,0)</f>
        <v>328.8114960897484</v>
      </c>
      <c r="AE13" s="158">
        <f>VLOOKUP($V13,'6.3A'!$U:$AH,10,0)</f>
        <v>119.42239311940304</v>
      </c>
      <c r="AF13" s="158">
        <f>VLOOKUP($V13,'6.3A'!$U:$AH,11,0)</f>
        <v>92.386185490658562</v>
      </c>
      <c r="AG13" s="158">
        <f>VLOOKUP($V13,'6.3A'!$U:$AH,12,0)</f>
        <v>845.28005200000041</v>
      </c>
      <c r="AH13" s="158">
        <f>VLOOKUP($V13,'6.3A'!$U:$AH,13,0)</f>
        <v>24.461580000000001</v>
      </c>
      <c r="AI13" s="158">
        <f>VLOOKUP($V13,'6.3A'!$U:$AH,14,0)</f>
        <v>414.95863643665416</v>
      </c>
    </row>
    <row r="14" spans="2:35" ht="21.75" customHeight="1" x14ac:dyDescent="0.3">
      <c r="B14" s="157" t="s">
        <v>757</v>
      </c>
      <c r="C14" s="1084">
        <f t="shared" si="1"/>
        <v>0</v>
      </c>
      <c r="D14" s="1084">
        <f t="shared" si="2"/>
        <v>0</v>
      </c>
      <c r="E14" s="1084">
        <f t="shared" si="3"/>
        <v>124.39090420222382</v>
      </c>
      <c r="F14" s="1084">
        <f t="shared" si="2"/>
        <v>10.475905693298284</v>
      </c>
      <c r="G14" s="1084">
        <f t="shared" si="4"/>
        <v>18.954747688305247</v>
      </c>
      <c r="H14" s="1084">
        <f t="shared" si="5"/>
        <v>1.5963237062746545</v>
      </c>
      <c r="I14" s="1084">
        <f t="shared" si="6"/>
        <v>44.081177000000011</v>
      </c>
      <c r="J14" s="1084">
        <f t="shared" si="7"/>
        <v>3.712411739935995</v>
      </c>
      <c r="K14" s="1084">
        <f t="shared" si="8"/>
        <v>16.98573</v>
      </c>
      <c r="L14" s="1084">
        <f t="shared" si="9"/>
        <v>1.4304977261243053</v>
      </c>
      <c r="M14" s="1084">
        <f t="shared" si="10"/>
        <v>11.899196571266557</v>
      </c>
      <c r="N14" s="1084">
        <f t="shared" si="11"/>
        <v>1.0021219952220444</v>
      </c>
      <c r="O14" s="1084">
        <f t="shared" si="12"/>
        <v>1964.6360720030732</v>
      </c>
      <c r="P14" s="1084">
        <f t="shared" si="13"/>
        <v>165.45697086096288</v>
      </c>
      <c r="R14" s="62" t="s">
        <v>757</v>
      </c>
      <c r="S14" s="39">
        <f>VLOOKUP($R14,'6.3A'!$Q:$R,2,0)</f>
        <v>11874</v>
      </c>
      <c r="T14" s="4">
        <f t="shared" si="0"/>
        <v>11874000</v>
      </c>
      <c r="U14" s="43"/>
      <c r="V14" s="39" t="s">
        <v>757</v>
      </c>
      <c r="W14" s="158">
        <f>VLOOKUP($V14,'6.3A'!$U:$AH,2,0)</f>
        <v>1964.6360720030732</v>
      </c>
      <c r="X14" s="158">
        <f>VLOOKUP($V14,'6.3A'!$U:$AH,3,0)</f>
        <v>369.27013077400045</v>
      </c>
      <c r="Y14" s="158">
        <f>VLOOKUP($V14,'6.3A'!$U:$AH,4,0)</f>
        <v>0</v>
      </c>
      <c r="Z14" s="158">
        <f>VLOOKUP($V14,'6.3A'!$U:$AH,5,0)</f>
        <v>526.63414835577566</v>
      </c>
      <c r="AA14" s="158">
        <f>VLOOKUP($V14,'6.3A'!$U:$AH,6,0)</f>
        <v>3.7019440856031096</v>
      </c>
      <c r="AB14" s="158">
        <f>VLOOKUP($V14,'6.3A'!$U:$AH,7,0)</f>
        <v>829.85638684297874</v>
      </c>
      <c r="AC14" s="158">
        <f>VLOOKUP($V14,'6.3A'!$U:$AH,8,0)</f>
        <v>0</v>
      </c>
      <c r="AD14" s="158">
        <f>VLOOKUP($V14,'6.3A'!$U:$AH,9,0)</f>
        <v>18.861706482919264</v>
      </c>
      <c r="AE14" s="158">
        <f>VLOOKUP($V14,'6.3A'!$U:$AH,10,0)</f>
        <v>124.39090420222382</v>
      </c>
      <c r="AF14" s="158">
        <f>VLOOKUP($V14,'6.3A'!$U:$AH,11,0)</f>
        <v>18.954747688305247</v>
      </c>
      <c r="AG14" s="158">
        <f>VLOOKUP($V14,'6.3A'!$U:$AH,12,0)</f>
        <v>44.081177000000011</v>
      </c>
      <c r="AH14" s="158">
        <f>VLOOKUP($V14,'6.3A'!$U:$AH,13,0)</f>
        <v>16.98573</v>
      </c>
      <c r="AI14" s="158">
        <f>VLOOKUP($V14,'6.3A'!$U:$AH,14,0)</f>
        <v>11.899196571266557</v>
      </c>
    </row>
    <row r="15" spans="2:35" ht="24.75" customHeight="1" x14ac:dyDescent="0.3">
      <c r="B15" s="1557" t="s">
        <v>1489</v>
      </c>
      <c r="C15" s="1087">
        <f>SUM(C5:C14)</f>
        <v>277.29411650170653</v>
      </c>
      <c r="D15" s="1087">
        <f t="shared" si="2"/>
        <v>0.62686586752957285</v>
      </c>
      <c r="E15" s="1087">
        <f t="shared" ref="E15:O15" si="14">SUM(E5:E14)</f>
        <v>482.21056366626078</v>
      </c>
      <c r="F15" s="1087">
        <f t="shared" si="2"/>
        <v>1.0901109159404561</v>
      </c>
      <c r="G15" s="1087">
        <f t="shared" si="14"/>
        <v>325.35751985468204</v>
      </c>
      <c r="H15" s="1087">
        <f t="shared" si="5"/>
        <v>0.73552056031351198</v>
      </c>
      <c r="I15" s="1087">
        <f t="shared" si="14"/>
        <v>1597.6277770000006</v>
      </c>
      <c r="J15" s="1087">
        <f t="shared" si="7"/>
        <v>3.6116825522776099</v>
      </c>
      <c r="K15" s="1087">
        <f t="shared" si="14"/>
        <v>2344.7281199999993</v>
      </c>
      <c r="L15" s="1087">
        <f t="shared" si="9"/>
        <v>5.3006174296371631</v>
      </c>
      <c r="M15" s="1087">
        <f t="shared" si="14"/>
        <v>865.28016322530232</v>
      </c>
      <c r="N15" s="1087">
        <f t="shared" si="11"/>
        <v>1.9560984813502935</v>
      </c>
      <c r="O15" s="1087">
        <f t="shared" si="14"/>
        <v>63840.008181314661</v>
      </c>
      <c r="P15" s="1087">
        <f t="shared" si="13"/>
        <v>144.32012700647601</v>
      </c>
      <c r="R15" s="160" t="s">
        <v>1489</v>
      </c>
      <c r="S15" s="143">
        <f>VLOOKUP($R15,'6.3A'!$Q:$R,2,0)</f>
        <v>442350</v>
      </c>
      <c r="T15" s="4">
        <f t="shared" si="0"/>
        <v>442350000</v>
      </c>
      <c r="U15" s="43"/>
    </row>
    <row r="16" spans="2:35" ht="21.75" customHeight="1" x14ac:dyDescent="0.3">
      <c r="B16" s="157" t="s">
        <v>1490</v>
      </c>
      <c r="C16" s="1084">
        <f t="shared" si="1"/>
        <v>0</v>
      </c>
      <c r="D16" s="1084">
        <f t="shared" si="2"/>
        <v>0</v>
      </c>
      <c r="E16" s="1084">
        <f t="shared" si="3"/>
        <v>9.9841001534919399E-2</v>
      </c>
      <c r="F16" s="1084">
        <f t="shared" si="2"/>
        <v>0.24652099144424544</v>
      </c>
      <c r="G16" s="1084">
        <f t="shared" si="4"/>
        <v>0.86043684727109548</v>
      </c>
      <c r="H16" s="1084">
        <f t="shared" si="5"/>
        <v>2.1245354253607296</v>
      </c>
      <c r="I16" s="1084">
        <f t="shared" si="6"/>
        <v>6.579254999999999</v>
      </c>
      <c r="J16" s="1084">
        <f t="shared" si="7"/>
        <v>16.245074074074072</v>
      </c>
      <c r="K16" s="1084">
        <f t="shared" si="8"/>
        <v>0</v>
      </c>
      <c r="L16" s="1084">
        <f t="shared" si="9"/>
        <v>0</v>
      </c>
      <c r="M16" s="1084">
        <f t="shared" si="10"/>
        <v>0</v>
      </c>
      <c r="N16" s="1084">
        <f t="shared" si="11"/>
        <v>0</v>
      </c>
      <c r="O16" s="1084">
        <f t="shared" si="12"/>
        <v>243.14398910165025</v>
      </c>
      <c r="P16" s="1084">
        <f t="shared" si="13"/>
        <v>600.35552864604995</v>
      </c>
      <c r="R16" s="62" t="s">
        <v>1490</v>
      </c>
      <c r="S16" s="39">
        <f>VLOOKUP($R16,'6.3A'!$Q:$R,2,0)</f>
        <v>405</v>
      </c>
      <c r="T16" s="4">
        <f t="shared" si="0"/>
        <v>405000</v>
      </c>
      <c r="U16" s="43"/>
      <c r="V16" s="39" t="s">
        <v>1490</v>
      </c>
      <c r="W16" s="158">
        <f>VLOOKUP($V16,'6.3A'!$U:$AH,2,0)</f>
        <v>243.14398910165025</v>
      </c>
      <c r="X16" s="158">
        <f>VLOOKUP($V16,'6.3A'!$U:$AH,3,0)</f>
        <v>14.929258400000002</v>
      </c>
      <c r="Y16" s="158">
        <f>VLOOKUP($V16,'6.3A'!$U:$AH,4,0)</f>
        <v>0</v>
      </c>
      <c r="Z16" s="158">
        <f>VLOOKUP($V16,'6.3A'!$U:$AH,5,0)</f>
        <v>23.91437598157334</v>
      </c>
      <c r="AA16" s="158">
        <f>VLOOKUP($V16,'6.3A'!$U:$AH,6,0)</f>
        <v>2.6771610894941636E-2</v>
      </c>
      <c r="AB16" s="158">
        <f>VLOOKUP($V16,'6.3A'!$U:$AH,7,0)</f>
        <v>176.43409119834709</v>
      </c>
      <c r="AC16" s="158">
        <f>VLOOKUP($V16,'6.3A'!$U:$AH,8,0)</f>
        <v>0</v>
      </c>
      <c r="AD16" s="158">
        <f>VLOOKUP($V16,'6.3A'!$U:$AH,9,0)</f>
        <v>20.299959062028858</v>
      </c>
      <c r="AE16" s="158">
        <f>VLOOKUP($V16,'6.3A'!$U:$AH,10,0)</f>
        <v>9.9841001534919399E-2</v>
      </c>
      <c r="AF16" s="158">
        <f>VLOOKUP($V16,'6.3A'!$U:$AH,11,0)</f>
        <v>0.86043684727109548</v>
      </c>
      <c r="AG16" s="158">
        <f>VLOOKUP($V16,'6.3A'!$U:$AH,12,0)</f>
        <v>6.579254999999999</v>
      </c>
      <c r="AH16" s="158">
        <f>VLOOKUP($V16,'6.3A'!$U:$AH,13,0)</f>
        <v>0</v>
      </c>
      <c r="AI16" s="158">
        <f>VLOOKUP($V16,'6.3A'!$U:$AH,14,0)</f>
        <v>0</v>
      </c>
    </row>
    <row r="17" spans="2:35" ht="21.75" customHeight="1" x14ac:dyDescent="0.3">
      <c r="B17" s="157" t="s">
        <v>426</v>
      </c>
      <c r="C17" s="1084">
        <f t="shared" si="1"/>
        <v>49.900383139931762</v>
      </c>
      <c r="D17" s="1084">
        <f t="shared" si="2"/>
        <v>0.38258656541054337</v>
      </c>
      <c r="E17" s="1084">
        <f t="shared" si="3"/>
        <v>33.61473014389869</v>
      </c>
      <c r="F17" s="1084">
        <f t="shared" si="2"/>
        <v>0.25772435688304507</v>
      </c>
      <c r="G17" s="1084">
        <f t="shared" si="4"/>
        <v>16.252327568974884</v>
      </c>
      <c r="H17" s="1298">
        <f t="shared" si="5"/>
        <v>0.12460670225927427</v>
      </c>
      <c r="I17" s="1084">
        <f t="shared" si="6"/>
        <v>312.4942669999997</v>
      </c>
      <c r="J17" s="1084">
        <f t="shared" si="7"/>
        <v>2.3958955983715255</v>
      </c>
      <c r="K17" s="1084">
        <f t="shared" si="8"/>
        <v>237.42007999999998</v>
      </c>
      <c r="L17" s="1084">
        <f t="shared" si="9"/>
        <v>1.8203013133582255</v>
      </c>
      <c r="M17" s="1084">
        <f t="shared" si="10"/>
        <v>17.573890893246176</v>
      </c>
      <c r="N17" s="1084">
        <f t="shared" si="11"/>
        <v>0.13473913694995879</v>
      </c>
      <c r="O17" s="1084">
        <f t="shared" si="12"/>
        <v>6403.1485424689963</v>
      </c>
      <c r="P17" s="1298">
        <f>(O17*1000*1000)/$T17</f>
        <v>49.09298194779533</v>
      </c>
      <c r="R17" s="62" t="s">
        <v>426</v>
      </c>
      <c r="S17" s="39">
        <f>VLOOKUP($R17,'6.3A'!$Q:$R,2,0)</f>
        <v>130429</v>
      </c>
      <c r="T17" s="4">
        <f t="shared" si="0"/>
        <v>130429000</v>
      </c>
      <c r="U17" s="43"/>
      <c r="V17" s="39" t="s">
        <v>426</v>
      </c>
      <c r="W17" s="158">
        <f>VLOOKUP($V17,'6.3A'!$U:$AH,2,0)</f>
        <v>6403.1485424689963</v>
      </c>
      <c r="X17" s="158">
        <f>VLOOKUP($V17,'6.3A'!$U:$AH,3,0)</f>
        <v>1868.8367328939983</v>
      </c>
      <c r="Y17" s="158">
        <f>VLOOKUP($V17,'6.3A'!$U:$AH,4,0)</f>
        <v>0</v>
      </c>
      <c r="Z17" s="158">
        <f>VLOOKUP($V17,'6.3A'!$U:$AH,5,0)</f>
        <v>1256.8252457980986</v>
      </c>
      <c r="AA17" s="158">
        <f>VLOOKUP($V17,'6.3A'!$U:$AH,6,0)</f>
        <v>4.6568339610894904</v>
      </c>
      <c r="AB17" s="158">
        <f>VLOOKUP($V17,'6.3A'!$U:$AH,7,0)</f>
        <v>2532.6231842900875</v>
      </c>
      <c r="AC17" s="158">
        <f>VLOOKUP($V17,'6.3A'!$U:$AH,8,0)</f>
        <v>49.900383139931762</v>
      </c>
      <c r="AD17" s="158">
        <f>VLOOKUP($V17,'6.3A'!$U:$AH,9,0)</f>
        <v>72.950866779671387</v>
      </c>
      <c r="AE17" s="158">
        <f>VLOOKUP($V17,'6.3A'!$U:$AH,10,0)</f>
        <v>33.61473014389869</v>
      </c>
      <c r="AF17" s="158">
        <f>VLOOKUP($V17,'6.3A'!$U:$AH,11,0)</f>
        <v>16.252327568974884</v>
      </c>
      <c r="AG17" s="158">
        <f>VLOOKUP($V17,'6.3A'!$U:$AH,12,0)</f>
        <v>312.4942669999997</v>
      </c>
      <c r="AH17" s="158">
        <f>VLOOKUP($V17,'6.3A'!$U:$AH,13,0)</f>
        <v>237.42007999999998</v>
      </c>
      <c r="AI17" s="158">
        <f>VLOOKUP($V17,'6.3A'!$U:$AH,14,0)</f>
        <v>17.573890893246176</v>
      </c>
    </row>
    <row r="18" spans="2:35" ht="21.75" customHeight="1" x14ac:dyDescent="0.3">
      <c r="B18" s="157" t="s">
        <v>541</v>
      </c>
      <c r="C18" s="1084">
        <f t="shared" si="1"/>
        <v>73.099468011945362</v>
      </c>
      <c r="D18" s="1084">
        <f t="shared" si="2"/>
        <v>1.8066648874705358</v>
      </c>
      <c r="E18" s="1084">
        <f t="shared" si="3"/>
        <v>90.313472260168894</v>
      </c>
      <c r="F18" s="1084">
        <f t="shared" si="2"/>
        <v>2.2321117189433997</v>
      </c>
      <c r="G18" s="1084">
        <f t="shared" si="4"/>
        <v>41.266182975064709</v>
      </c>
      <c r="H18" s="1084">
        <f t="shared" si="5"/>
        <v>1.0199002242916564</v>
      </c>
      <c r="I18" s="1084">
        <f t="shared" si="6"/>
        <v>280.32500900000002</v>
      </c>
      <c r="J18" s="1084">
        <f t="shared" si="7"/>
        <v>6.9282768344825882</v>
      </c>
      <c r="K18" s="1084">
        <f t="shared" si="8"/>
        <v>139.19360000000003</v>
      </c>
      <c r="L18" s="1084">
        <f t="shared" si="9"/>
        <v>3.4401917896245773</v>
      </c>
      <c r="M18" s="1084">
        <f t="shared" si="10"/>
        <v>47.933349127101607</v>
      </c>
      <c r="N18" s="1084">
        <f t="shared" si="11"/>
        <v>1.1846802878599543</v>
      </c>
      <c r="O18" s="1084">
        <f t="shared" si="12"/>
        <v>4121.7613932755203</v>
      </c>
      <c r="P18" s="1084">
        <f t="shared" si="13"/>
        <v>101.86998327464769</v>
      </c>
      <c r="R18" s="62" t="s">
        <v>541</v>
      </c>
      <c r="S18" s="39">
        <f>VLOOKUP($R18,'6.3A'!$Q:$R,2,0)</f>
        <v>40461</v>
      </c>
      <c r="T18" s="4">
        <f t="shared" si="0"/>
        <v>40461000</v>
      </c>
      <c r="U18" s="43"/>
      <c r="V18" s="39" t="s">
        <v>541</v>
      </c>
      <c r="W18" s="158">
        <f>VLOOKUP($V18,'6.3A'!$U:$AH,2,0)</f>
        <v>4121.7613932755203</v>
      </c>
      <c r="X18" s="158">
        <f>VLOOKUP($V18,'6.3A'!$U:$AH,3,0)</f>
        <v>493.43951973299954</v>
      </c>
      <c r="Y18" s="158">
        <f>VLOOKUP($V18,'6.3A'!$U:$AH,4,0)</f>
        <v>3.5991899999999997</v>
      </c>
      <c r="Z18" s="158">
        <f>VLOOKUP($V18,'6.3A'!$U:$AH,5,0)</f>
        <v>821.0047675993618</v>
      </c>
      <c r="AA18" s="158">
        <f>VLOOKUP($V18,'6.3A'!$U:$AH,6,0)</f>
        <v>3.0871711128404633</v>
      </c>
      <c r="AB18" s="158">
        <f>VLOOKUP($V18,'6.3A'!$U:$AH,7,0)</f>
        <v>2087.4651909006188</v>
      </c>
      <c r="AC18" s="158">
        <f>VLOOKUP($V18,'6.3A'!$U:$AH,8,0)</f>
        <v>73.099468011945362</v>
      </c>
      <c r="AD18" s="158">
        <f>VLOOKUP($V18,'6.3A'!$U:$AH,9,0)</f>
        <v>41.034472555418695</v>
      </c>
      <c r="AE18" s="158">
        <f>VLOOKUP($V18,'6.3A'!$U:$AH,10,0)</f>
        <v>90.313472260168894</v>
      </c>
      <c r="AF18" s="158">
        <f>VLOOKUP($V18,'6.3A'!$U:$AH,11,0)</f>
        <v>41.266182975064709</v>
      </c>
      <c r="AG18" s="158">
        <f>VLOOKUP($V18,'6.3A'!$U:$AH,12,0)</f>
        <v>280.32500900000002</v>
      </c>
      <c r="AH18" s="158">
        <f>VLOOKUP($V18,'6.3A'!$U:$AH,13,0)</f>
        <v>139.19360000000003</v>
      </c>
      <c r="AI18" s="158">
        <f>VLOOKUP($V18,'6.3A'!$U:$AH,14,0)</f>
        <v>47.933349127101607</v>
      </c>
    </row>
    <row r="19" spans="2:35" ht="21.75" customHeight="1" x14ac:dyDescent="0.3">
      <c r="B19" s="157" t="s">
        <v>631</v>
      </c>
      <c r="C19" s="1084">
        <f t="shared" si="1"/>
        <v>54.155827704778183</v>
      </c>
      <c r="D19" s="1084">
        <f t="shared" si="2"/>
        <v>1.215673603860514</v>
      </c>
      <c r="E19" s="1084">
        <f t="shared" si="3"/>
        <v>951.31302565291605</v>
      </c>
      <c r="F19" s="1084">
        <f t="shared" si="2"/>
        <v>21.35478642482078</v>
      </c>
      <c r="G19" s="1084">
        <f t="shared" si="4"/>
        <v>35.228466552901338</v>
      </c>
      <c r="H19" s="1084">
        <f t="shared" si="5"/>
        <v>0.79079793824417111</v>
      </c>
      <c r="I19" s="1084">
        <f t="shared" si="6"/>
        <v>166.33828400000007</v>
      </c>
      <c r="J19" s="1084">
        <f t="shared" si="7"/>
        <v>3.7339113764927734</v>
      </c>
      <c r="K19" s="1084">
        <f t="shared" si="8"/>
        <v>738.72948000000019</v>
      </c>
      <c r="L19" s="1084">
        <f t="shared" si="9"/>
        <v>16.582775433240556</v>
      </c>
      <c r="M19" s="1084">
        <f t="shared" si="10"/>
        <v>334.41050935736041</v>
      </c>
      <c r="N19" s="1084">
        <f t="shared" si="11"/>
        <v>7.5067457429595139</v>
      </c>
      <c r="O19" s="1084">
        <f t="shared" si="12"/>
        <v>7903.9145818011939</v>
      </c>
      <c r="P19" s="1084">
        <f t="shared" si="13"/>
        <v>177.42467858941353</v>
      </c>
      <c r="R19" s="62" t="s">
        <v>631</v>
      </c>
      <c r="S19" s="39">
        <f>VLOOKUP($R19,'6.3A'!$Q:$R,2,0)</f>
        <v>44548</v>
      </c>
      <c r="T19" s="4">
        <f t="shared" si="0"/>
        <v>44548000</v>
      </c>
      <c r="U19" s="43"/>
      <c r="V19" s="39" t="s">
        <v>631</v>
      </c>
      <c r="W19" s="158">
        <f>VLOOKUP($V19,'6.3A'!$U:$AH,2,0)</f>
        <v>7903.9145818011939</v>
      </c>
      <c r="X19" s="158">
        <f>VLOOKUP($V19,'6.3A'!$U:$AH,3,0)</f>
        <v>822.78104794500211</v>
      </c>
      <c r="Y19" s="158">
        <f>VLOOKUP($V19,'6.3A'!$U:$AH,4,0)</f>
        <v>0.16486999999999999</v>
      </c>
      <c r="Z19" s="158">
        <f>VLOOKUP($V19,'6.3A'!$U:$AH,5,0)</f>
        <v>1244.6960996556134</v>
      </c>
      <c r="AA19" s="158">
        <f>VLOOKUP($V19,'6.3A'!$U:$AH,6,0)</f>
        <v>6.2226817976653628</v>
      </c>
      <c r="AB19" s="158">
        <f>VLOOKUP($V19,'6.3A'!$U:$AH,7,0)</f>
        <v>3448.4690729749127</v>
      </c>
      <c r="AC19" s="158">
        <f>VLOOKUP($V19,'6.3A'!$U:$AH,8,0)</f>
        <v>54.155827704778183</v>
      </c>
      <c r="AD19" s="158">
        <f>VLOOKUP($V19,'6.3A'!$U:$AH,9,0)</f>
        <v>101.40521616004497</v>
      </c>
      <c r="AE19" s="158">
        <f>VLOOKUP($V19,'6.3A'!$U:$AH,10,0)</f>
        <v>951.31302565291605</v>
      </c>
      <c r="AF19" s="158">
        <f>VLOOKUP($V19,'6.3A'!$U:$AH,11,0)</f>
        <v>35.228466552901338</v>
      </c>
      <c r="AG19" s="158">
        <f>VLOOKUP($V19,'6.3A'!$U:$AH,12,0)</f>
        <v>166.33828400000007</v>
      </c>
      <c r="AH19" s="158">
        <f>VLOOKUP($V19,'6.3A'!$U:$AH,13,0)</f>
        <v>738.72948000000019</v>
      </c>
      <c r="AI19" s="158">
        <f>VLOOKUP($V19,'6.3A'!$U:$AH,14,0)</f>
        <v>334.41050935736041</v>
      </c>
    </row>
    <row r="20" spans="2:35" ht="21.75" customHeight="1" x14ac:dyDescent="0.3">
      <c r="B20" s="157" t="s">
        <v>225</v>
      </c>
      <c r="C20" s="1084">
        <f t="shared" si="1"/>
        <v>65.756700853242364</v>
      </c>
      <c r="D20" s="1084">
        <f t="shared" si="2"/>
        <v>0.65729094633496299</v>
      </c>
      <c r="E20" s="1084">
        <f t="shared" si="3"/>
        <v>219.42584892363766</v>
      </c>
      <c r="F20" s="1084">
        <f t="shared" si="2"/>
        <v>2.193337287575595</v>
      </c>
      <c r="G20" s="1084">
        <f t="shared" si="4"/>
        <v>128.11009589074123</v>
      </c>
      <c r="H20" s="1084">
        <f t="shared" si="5"/>
        <v>1.2805631223960059</v>
      </c>
      <c r="I20" s="1084">
        <f t="shared" si="6"/>
        <v>229.04977700000009</v>
      </c>
      <c r="J20" s="1084">
        <f t="shared" si="7"/>
        <v>2.2895361648107801</v>
      </c>
      <c r="K20" s="1084">
        <f t="shared" si="8"/>
        <v>424.52163000000013</v>
      </c>
      <c r="L20" s="1084">
        <f t="shared" si="9"/>
        <v>4.2434340576957688</v>
      </c>
      <c r="M20" s="1084">
        <f t="shared" si="10"/>
        <v>562.10758262889146</v>
      </c>
      <c r="N20" s="1084">
        <f t="shared" si="11"/>
        <v>5.6187159655833696</v>
      </c>
      <c r="O20" s="1084">
        <f t="shared" si="12"/>
        <v>10342.211982176812</v>
      </c>
      <c r="P20" s="1084">
        <f t="shared" si="13"/>
        <v>103.37870076744581</v>
      </c>
      <c r="R20" s="62" t="s">
        <v>225</v>
      </c>
      <c r="S20" s="39">
        <f>VLOOKUP($R20,'6.3A'!$Q:$R,2,0)</f>
        <v>100042</v>
      </c>
      <c r="T20" s="4">
        <f t="shared" si="0"/>
        <v>100042000</v>
      </c>
      <c r="U20" s="43"/>
      <c r="V20" s="39" t="s">
        <v>225</v>
      </c>
      <c r="W20" s="158">
        <f>VLOOKUP($V20,'6.3A'!$U:$AH,2,0)</f>
        <v>10342.211982176812</v>
      </c>
      <c r="X20" s="158">
        <f>VLOOKUP($V20,'6.3A'!$U:$AH,3,0)</f>
        <v>2389.6139865070013</v>
      </c>
      <c r="Y20" s="158">
        <f>VLOOKUP($V20,'6.3A'!$U:$AH,4,0)</f>
        <v>675.24802699999975</v>
      </c>
      <c r="Z20" s="158">
        <f>VLOOKUP($V20,'6.3A'!$U:$AH,5,0)</f>
        <v>1480.0229848481724</v>
      </c>
      <c r="AA20" s="158">
        <f>VLOOKUP($V20,'6.3A'!$U:$AH,6,0)</f>
        <v>191.44140561089566</v>
      </c>
      <c r="AB20" s="158">
        <f>VLOOKUP($V20,'6.3A'!$U:$AH,7,0)</f>
        <v>3566.810335941303</v>
      </c>
      <c r="AC20" s="158">
        <f>VLOOKUP($V20,'6.3A'!$U:$AH,8,0)</f>
        <v>65.756700853242364</v>
      </c>
      <c r="AD20" s="158">
        <f>VLOOKUP($V20,'6.3A'!$U:$AH,9,0)</f>
        <v>410.10360697292936</v>
      </c>
      <c r="AE20" s="158">
        <f>VLOOKUP($V20,'6.3A'!$U:$AH,10,0)</f>
        <v>219.42584892363766</v>
      </c>
      <c r="AF20" s="158">
        <f>VLOOKUP($V20,'6.3A'!$U:$AH,11,0)</f>
        <v>128.11009589074123</v>
      </c>
      <c r="AG20" s="158">
        <f>VLOOKUP($V20,'6.3A'!$U:$AH,12,0)</f>
        <v>229.04977700000009</v>
      </c>
      <c r="AH20" s="158">
        <f>VLOOKUP($V20,'6.3A'!$U:$AH,13,0)</f>
        <v>424.52163000000013</v>
      </c>
      <c r="AI20" s="158">
        <f>VLOOKUP($V20,'6.3A'!$U:$AH,14,0)</f>
        <v>562.10758262889146</v>
      </c>
    </row>
    <row r="21" spans="2:35" ht="21.75" customHeight="1" x14ac:dyDescent="0.3">
      <c r="B21" s="1086" t="s">
        <v>1491</v>
      </c>
      <c r="C21" s="1087">
        <f>SUM(C16:C20)</f>
        <v>242.91237970989766</v>
      </c>
      <c r="D21" s="1087">
        <f t="shared" si="2"/>
        <v>0.76898991629832891</v>
      </c>
      <c r="E21" s="1087">
        <f t="shared" ref="E21:O21" si="15">SUM(E16:E20)</f>
        <v>1294.7669179821562</v>
      </c>
      <c r="F21" s="1087">
        <f t="shared" si="2"/>
        <v>4.0988553365375244</v>
      </c>
      <c r="G21" s="1087">
        <f t="shared" si="15"/>
        <v>221.71750983495326</v>
      </c>
      <c r="H21" s="1087">
        <f t="shared" si="5"/>
        <v>0.70189312514033042</v>
      </c>
      <c r="I21" s="1087">
        <f t="shared" si="15"/>
        <v>994.78659199999981</v>
      </c>
      <c r="J21" s="1087">
        <f t="shared" si="7"/>
        <v>3.1492049068490111</v>
      </c>
      <c r="K21" s="1087">
        <f t="shared" si="15"/>
        <v>1539.8647900000005</v>
      </c>
      <c r="L21" s="1087">
        <f t="shared" si="9"/>
        <v>4.8747638855912765</v>
      </c>
      <c r="M21" s="1087">
        <f t="shared" si="15"/>
        <v>962.02533200659968</v>
      </c>
      <c r="N21" s="1087">
        <f t="shared" si="11"/>
        <v>3.0454922899365267</v>
      </c>
      <c r="O21" s="1087">
        <f t="shared" si="15"/>
        <v>29014.180488824175</v>
      </c>
      <c r="P21" s="1087">
        <f t="shared" si="13"/>
        <v>91.850453452440519</v>
      </c>
      <c r="R21" s="160" t="s">
        <v>1491</v>
      </c>
      <c r="S21" s="143">
        <f>VLOOKUP($R21,'6.3A'!$Q:$R,2,0)</f>
        <v>315885</v>
      </c>
      <c r="T21" s="4">
        <f t="shared" si="0"/>
        <v>315885000</v>
      </c>
      <c r="U21" s="43"/>
    </row>
    <row r="22" spans="2:35" ht="21.75" customHeight="1" x14ac:dyDescent="0.3">
      <c r="B22" s="157" t="s">
        <v>220</v>
      </c>
      <c r="C22" s="1084">
        <f t="shared" si="1"/>
        <v>0</v>
      </c>
      <c r="D22" s="1084">
        <f t="shared" si="2"/>
        <v>0</v>
      </c>
      <c r="E22" s="1084">
        <f t="shared" si="3"/>
        <v>0</v>
      </c>
      <c r="F22" s="1084">
        <f t="shared" si="2"/>
        <v>0</v>
      </c>
      <c r="G22" s="1084">
        <f t="shared" si="4"/>
        <v>0.75572104265709106</v>
      </c>
      <c r="H22" s="1084">
        <f t="shared" si="5"/>
        <v>0.47529625324345348</v>
      </c>
      <c r="I22" s="1084">
        <f t="shared" si="6"/>
        <v>11.667133999999995</v>
      </c>
      <c r="J22" s="1084">
        <f t="shared" si="7"/>
        <v>7.3378201257861599</v>
      </c>
      <c r="K22" s="1084">
        <f t="shared" si="8"/>
        <v>0</v>
      </c>
      <c r="L22" s="1084">
        <f t="shared" si="9"/>
        <v>0</v>
      </c>
      <c r="M22" s="1084">
        <f t="shared" si="10"/>
        <v>0.27737341503267965</v>
      </c>
      <c r="N22" s="1084">
        <f t="shared" si="11"/>
        <v>0.17444868869979852</v>
      </c>
      <c r="O22" s="1084">
        <f t="shared" si="12"/>
        <v>441.55726290338447</v>
      </c>
      <c r="P22" s="1084">
        <f t="shared" si="13"/>
        <v>277.70897037948708</v>
      </c>
      <c r="R22" s="62" t="s">
        <v>220</v>
      </c>
      <c r="S22" s="39">
        <f>VLOOKUP($R22,'6.3A'!$Q:$R,2,0)</f>
        <v>1590</v>
      </c>
      <c r="T22" s="4">
        <f t="shared" si="0"/>
        <v>1590000</v>
      </c>
      <c r="U22" s="43"/>
      <c r="V22" s="39" t="s">
        <v>220</v>
      </c>
      <c r="W22" s="158">
        <f>VLOOKUP($V22,'6.3A'!$U:$AH,2,0)</f>
        <v>441.55726290338447</v>
      </c>
      <c r="X22" s="158">
        <f>VLOOKUP($V22,'6.3A'!$U:$AH,3,0)</f>
        <v>30.998496500000027</v>
      </c>
      <c r="Y22" s="158">
        <f>VLOOKUP($V22,'6.3A'!$U:$AH,4,0)</f>
        <v>0</v>
      </c>
      <c r="Z22" s="158">
        <f>VLOOKUP($V22,'6.3A'!$U:$AH,5,0)</f>
        <v>101.06115525159466</v>
      </c>
      <c r="AA22" s="158">
        <f>VLOOKUP($V22,'6.3A'!$U:$AH,6,0)</f>
        <v>9.6964947548638012</v>
      </c>
      <c r="AB22" s="158">
        <f>VLOOKUP($V22,'6.3A'!$U:$AH,7,0)</f>
        <v>281.62433109917407</v>
      </c>
      <c r="AC22" s="158">
        <f>VLOOKUP($V22,'6.3A'!$U:$AH,8,0)</f>
        <v>0</v>
      </c>
      <c r="AD22" s="158">
        <f>VLOOKUP($V22,'6.3A'!$U:$AH,9,0)</f>
        <v>5.4765568400621136</v>
      </c>
      <c r="AE22" s="158">
        <f>VLOOKUP($V22,'6.3A'!$U:$AH,10,0)</f>
        <v>0</v>
      </c>
      <c r="AF22" s="158">
        <f>VLOOKUP($V22,'6.3A'!$U:$AH,11,0)</f>
        <v>0.75572104265709106</v>
      </c>
      <c r="AG22" s="158">
        <f>VLOOKUP($V22,'6.3A'!$U:$AH,12,0)</f>
        <v>11.667133999999995</v>
      </c>
      <c r="AH22" s="158">
        <f>VLOOKUP($V22,'6.3A'!$U:$AH,13,0)</f>
        <v>0</v>
      </c>
      <c r="AI22" s="158">
        <f>VLOOKUP($V22,'6.3A'!$U:$AH,14,0)</f>
        <v>0.27737341503267965</v>
      </c>
    </row>
    <row r="23" spans="2:35" ht="21.75" customHeight="1" x14ac:dyDescent="0.3">
      <c r="B23" s="157" t="s">
        <v>331</v>
      </c>
      <c r="C23" s="1084">
        <f t="shared" si="1"/>
        <v>2.9428400511945387</v>
      </c>
      <c r="D23" s="1084">
        <f t="shared" si="2"/>
        <v>8.0887253344910634E-2</v>
      </c>
      <c r="E23" s="1084">
        <f t="shared" si="3"/>
        <v>4.52615637950883</v>
      </c>
      <c r="F23" s="1084">
        <f t="shared" si="2"/>
        <v>0.12440647516653372</v>
      </c>
      <c r="G23" s="1084">
        <f t="shared" si="4"/>
        <v>55.797802242516937</v>
      </c>
      <c r="H23" s="1084">
        <f t="shared" si="5"/>
        <v>1.5336650608135052</v>
      </c>
      <c r="I23" s="1084">
        <f t="shared" si="6"/>
        <v>48.978830000000002</v>
      </c>
      <c r="J23" s="1084">
        <f t="shared" si="7"/>
        <v>1.3462379748227145</v>
      </c>
      <c r="K23" s="1084">
        <f t="shared" si="8"/>
        <v>133.25069999999999</v>
      </c>
      <c r="L23" s="1084">
        <f t="shared" si="9"/>
        <v>3.6625446649442028</v>
      </c>
      <c r="M23" s="1084">
        <f t="shared" si="10"/>
        <v>49.573310219975646</v>
      </c>
      <c r="N23" s="1084">
        <f t="shared" si="11"/>
        <v>1.3625779291950868</v>
      </c>
      <c r="O23" s="1084">
        <f t="shared" si="12"/>
        <v>3338.8550834905959</v>
      </c>
      <c r="P23" s="1084">
        <f t="shared" si="13"/>
        <v>91.772169850217026</v>
      </c>
      <c r="R23" s="62" t="s">
        <v>331</v>
      </c>
      <c r="S23" s="39">
        <f>VLOOKUP($R23,'6.3A'!$Q:$R,2,0)</f>
        <v>36382</v>
      </c>
      <c r="T23" s="4">
        <f t="shared" si="0"/>
        <v>36382000</v>
      </c>
      <c r="U23" s="43"/>
      <c r="V23" s="39" t="s">
        <v>331</v>
      </c>
      <c r="W23" s="158">
        <f>VLOOKUP($V23,'6.3A'!$U:$AH,2,0)</f>
        <v>3338.8550834905959</v>
      </c>
      <c r="X23" s="158">
        <f>VLOOKUP($V23,'6.3A'!$U:$AH,3,0)</f>
        <v>646.13280518999977</v>
      </c>
      <c r="Y23" s="158">
        <f>VLOOKUP($V23,'6.3A'!$U:$AH,4,0)</f>
        <v>210.49029400000001</v>
      </c>
      <c r="Z23" s="158">
        <f>VLOOKUP($V23,'6.3A'!$U:$AH,5,0)</f>
        <v>763.20092316063108</v>
      </c>
      <c r="AA23" s="158">
        <f>VLOOKUP($V23,'6.3A'!$U:$AH,6,0)</f>
        <v>3.604088389105053</v>
      </c>
      <c r="AB23" s="158">
        <f>VLOOKUP($V23,'6.3A'!$U:$AH,7,0)</f>
        <v>1280.8300821010932</v>
      </c>
      <c r="AC23" s="158">
        <f>VLOOKUP($V23,'6.3A'!$U:$AH,8,0)</f>
        <v>2.9428400511945387</v>
      </c>
      <c r="AD23" s="158">
        <f>VLOOKUP($V23,'6.3A'!$U:$AH,9,0)</f>
        <v>139.52725175657071</v>
      </c>
      <c r="AE23" s="158">
        <f>VLOOKUP($V23,'6.3A'!$U:$AH,10,0)</f>
        <v>4.52615637950883</v>
      </c>
      <c r="AF23" s="158">
        <f>VLOOKUP($V23,'6.3A'!$U:$AH,11,0)</f>
        <v>55.797802242516937</v>
      </c>
      <c r="AG23" s="158">
        <f>VLOOKUP($V23,'6.3A'!$U:$AH,12,0)</f>
        <v>48.978830000000002</v>
      </c>
      <c r="AH23" s="158">
        <f>VLOOKUP($V23,'6.3A'!$U:$AH,13,0)</f>
        <v>133.25069999999999</v>
      </c>
      <c r="AI23" s="158">
        <f>VLOOKUP($V23,'6.3A'!$U:$AH,14,0)</f>
        <v>49.573310219975646</v>
      </c>
    </row>
    <row r="24" spans="2:35" ht="21.75" customHeight="1" x14ac:dyDescent="0.3">
      <c r="B24" s="157" t="s">
        <v>1492</v>
      </c>
      <c r="C24" s="1084">
        <f t="shared" si="1"/>
        <v>0.22184300341296931</v>
      </c>
      <c r="D24" s="1084">
        <f t="shared" si="2"/>
        <v>6.7593846256236836E-2</v>
      </c>
      <c r="E24" s="1084">
        <f t="shared" si="3"/>
        <v>2.2049999999999997E-2</v>
      </c>
      <c r="F24" s="1084">
        <f t="shared" si="2"/>
        <v>6.7184643510054837E-3</v>
      </c>
      <c r="G24" s="1084">
        <f t="shared" si="4"/>
        <v>0.45159806101436251</v>
      </c>
      <c r="H24" s="1084">
        <f t="shared" si="5"/>
        <v>0.1375984341908478</v>
      </c>
      <c r="I24" s="1084">
        <f t="shared" si="6"/>
        <v>6.1518490000000012</v>
      </c>
      <c r="J24" s="1084">
        <f t="shared" si="7"/>
        <v>1.8744207800121879</v>
      </c>
      <c r="K24" s="1084">
        <f t="shared" si="8"/>
        <v>0</v>
      </c>
      <c r="L24" s="1084">
        <f t="shared" si="9"/>
        <v>0</v>
      </c>
      <c r="M24" s="1084">
        <f t="shared" si="10"/>
        <v>0.40254835947712414</v>
      </c>
      <c r="N24" s="1084">
        <f t="shared" si="11"/>
        <v>0.12265336973708842</v>
      </c>
      <c r="O24" s="1084">
        <f t="shared" si="12"/>
        <v>311.16829201886435</v>
      </c>
      <c r="P24" s="1084">
        <f t="shared" si="13"/>
        <v>94.810570389660072</v>
      </c>
      <c r="R24" s="62" t="s">
        <v>1492</v>
      </c>
      <c r="S24" s="39">
        <f>VLOOKUP($R24,'6.3A'!$Q:$R,2,0)</f>
        <v>3282</v>
      </c>
      <c r="T24" s="4">
        <f t="shared" si="0"/>
        <v>3282000</v>
      </c>
      <c r="U24" s="43"/>
      <c r="V24" s="39" t="s">
        <v>1492</v>
      </c>
      <c r="W24" s="158">
        <f>VLOOKUP($V24,'6.3A'!$U:$AH,2,0)</f>
        <v>311.16829201886435</v>
      </c>
      <c r="X24" s="158">
        <f>VLOOKUP($V24,'6.3A'!$U:$AH,3,0)</f>
        <v>53.49804360000001</v>
      </c>
      <c r="Y24" s="158">
        <f>VLOOKUP($V24,'6.3A'!$U:$AH,4,0)</f>
        <v>0</v>
      </c>
      <c r="Z24" s="158">
        <f>VLOOKUP($V24,'6.3A'!$U:$AH,5,0)</f>
        <v>93.525375768958156</v>
      </c>
      <c r="AA24" s="158">
        <f>VLOOKUP($V24,'6.3A'!$U:$AH,6,0)</f>
        <v>2.4778194708171197</v>
      </c>
      <c r="AB24" s="158">
        <f>VLOOKUP($V24,'6.3A'!$U:$AH,7,0)</f>
        <v>142.48203249586786</v>
      </c>
      <c r="AC24" s="158">
        <f>VLOOKUP($V24,'6.3A'!$U:$AH,8,0)</f>
        <v>0.22184300341296931</v>
      </c>
      <c r="AD24" s="158">
        <f>VLOOKUP($V24,'6.3A'!$U:$AH,9,0)</f>
        <v>11.935132259316772</v>
      </c>
      <c r="AE24" s="158">
        <f>VLOOKUP($V24,'6.3A'!$U:$AH,10,0)</f>
        <v>2.2049999999999997E-2</v>
      </c>
      <c r="AF24" s="158">
        <f>VLOOKUP($V24,'6.3A'!$U:$AH,11,0)</f>
        <v>0.45159806101436251</v>
      </c>
      <c r="AG24" s="158">
        <f>VLOOKUP($V24,'6.3A'!$U:$AH,12,0)</f>
        <v>6.1518490000000012</v>
      </c>
      <c r="AH24" s="158">
        <f>VLOOKUP($V24,'6.3A'!$U:$AH,13,0)</f>
        <v>0</v>
      </c>
      <c r="AI24" s="158">
        <f>VLOOKUP($V24,'6.3A'!$U:$AH,14,0)</f>
        <v>0.40254835947712414</v>
      </c>
    </row>
    <row r="25" spans="2:35" ht="21.75" customHeight="1" x14ac:dyDescent="0.3">
      <c r="B25" s="157" t="s">
        <v>1493</v>
      </c>
      <c r="C25" s="1084">
        <f t="shared" si="1"/>
        <v>0</v>
      </c>
      <c r="D25" s="1084">
        <f t="shared" si="2"/>
        <v>0</v>
      </c>
      <c r="E25" s="1084">
        <f t="shared" si="3"/>
        <v>0.22831957981580966</v>
      </c>
      <c r="F25" s="1084">
        <f t="shared" si="2"/>
        <v>6.6955888509035097E-2</v>
      </c>
      <c r="G25" s="1084">
        <f t="shared" si="4"/>
        <v>0.93324826156732543</v>
      </c>
      <c r="H25" s="1084">
        <f t="shared" si="5"/>
        <v>0.27367984210185498</v>
      </c>
      <c r="I25" s="1084">
        <f t="shared" si="6"/>
        <v>8.1103360000000002</v>
      </c>
      <c r="J25" s="1084">
        <f t="shared" si="7"/>
        <v>2.3783976539589444</v>
      </c>
      <c r="K25" s="1084">
        <f t="shared" si="8"/>
        <v>0.34358</v>
      </c>
      <c r="L25" s="1084">
        <f t="shared" si="9"/>
        <v>0.1007565982404692</v>
      </c>
      <c r="M25" s="1084">
        <f t="shared" si="10"/>
        <v>3.4858387799564274E-4</v>
      </c>
      <c r="N25" s="1084">
        <f t="shared" si="11"/>
        <v>1.0222401114241722E-4</v>
      </c>
      <c r="O25" s="1084">
        <f t="shared" si="12"/>
        <v>622.08401027521302</v>
      </c>
      <c r="P25" s="1084">
        <f t="shared" si="13"/>
        <v>182.42932852645544</v>
      </c>
      <c r="R25" s="62" t="s">
        <v>1493</v>
      </c>
      <c r="S25" s="39">
        <f>VLOOKUP($R25,'6.3A'!$Q:$R,2,0)</f>
        <v>3410</v>
      </c>
      <c r="T25" s="4">
        <f t="shared" si="0"/>
        <v>3410000</v>
      </c>
      <c r="U25" s="43"/>
      <c r="V25" s="39" t="s">
        <v>1493</v>
      </c>
      <c r="W25" s="158">
        <f>VLOOKUP($V25,'6.3A'!$U:$AH,2,0)</f>
        <v>622.08401027521302</v>
      </c>
      <c r="X25" s="158">
        <f>VLOOKUP($V25,'6.3A'!$U:$AH,3,0)</f>
        <v>38.37831912899987</v>
      </c>
      <c r="Y25" s="158">
        <f>VLOOKUP($V25,'6.3A'!$U:$AH,4,0)</f>
        <v>0</v>
      </c>
      <c r="Z25" s="158">
        <f>VLOOKUP($V25,'6.3A'!$U:$AH,5,0)</f>
        <v>157.79848700921346</v>
      </c>
      <c r="AA25" s="158">
        <f>VLOOKUP($V25,'6.3A'!$U:$AH,6,0)</f>
        <v>1.5875611050583656</v>
      </c>
      <c r="AB25" s="158">
        <f>VLOOKUP($V25,'6.3A'!$U:$AH,7,0)</f>
        <v>413.50454822313986</v>
      </c>
      <c r="AC25" s="158">
        <f>VLOOKUP($V25,'6.3A'!$U:$AH,8,0)</f>
        <v>0</v>
      </c>
      <c r="AD25" s="158">
        <f>VLOOKUP($V25,'6.3A'!$U:$AH,9,0)</f>
        <v>1.1992623835403731</v>
      </c>
      <c r="AE25" s="158">
        <f>VLOOKUP($V25,'6.3A'!$U:$AH,10,0)</f>
        <v>0.22831957981580966</v>
      </c>
      <c r="AF25" s="158">
        <f>VLOOKUP($V25,'6.3A'!$U:$AH,11,0)</f>
        <v>0.93324826156732543</v>
      </c>
      <c r="AG25" s="158">
        <f>VLOOKUP($V25,'6.3A'!$U:$AH,12,0)</f>
        <v>8.1103360000000002</v>
      </c>
      <c r="AH25" s="158">
        <f>VLOOKUP($V25,'6.3A'!$U:$AH,13,0)</f>
        <v>0.34358</v>
      </c>
      <c r="AI25" s="158">
        <f>VLOOKUP($V25,'6.3A'!$U:$AH,14,0)</f>
        <v>3.4858387799564274E-4</v>
      </c>
    </row>
    <row r="26" spans="2:35" ht="21.75" customHeight="1" x14ac:dyDescent="0.3">
      <c r="B26" s="157" t="s">
        <v>1494</v>
      </c>
      <c r="C26" s="1084">
        <f t="shared" si="1"/>
        <v>0</v>
      </c>
      <c r="D26" s="1084">
        <f t="shared" si="2"/>
        <v>0</v>
      </c>
      <c r="E26" s="1084">
        <f t="shared" si="3"/>
        <v>1.1511895625479662E-2</v>
      </c>
      <c r="F26" s="1084">
        <f t="shared" si="2"/>
        <v>9.12917971885778E-3</v>
      </c>
      <c r="G26" s="1084">
        <f t="shared" si="4"/>
        <v>0.40525798194434465</v>
      </c>
      <c r="H26" s="1084">
        <f t="shared" si="5"/>
        <v>0.32137825689480148</v>
      </c>
      <c r="I26" s="1084">
        <f t="shared" si="6"/>
        <v>6.4655519999999997</v>
      </c>
      <c r="J26" s="1084">
        <f t="shared" si="7"/>
        <v>5.1273211736716888</v>
      </c>
      <c r="K26" s="1084">
        <f t="shared" si="8"/>
        <v>0</v>
      </c>
      <c r="L26" s="1084">
        <f t="shared" si="9"/>
        <v>0</v>
      </c>
      <c r="M26" s="1084">
        <f t="shared" si="10"/>
        <v>0</v>
      </c>
      <c r="N26" s="1084">
        <f t="shared" si="11"/>
        <v>0</v>
      </c>
      <c r="O26" s="1084">
        <f t="shared" si="12"/>
        <v>244.41689900765073</v>
      </c>
      <c r="P26" s="1084">
        <f t="shared" si="13"/>
        <v>193.82783426459218</v>
      </c>
      <c r="R26" s="62" t="s">
        <v>1494</v>
      </c>
      <c r="S26" s="39">
        <f>VLOOKUP($R26,'6.3A'!$Q:$R,2,0)</f>
        <v>1261</v>
      </c>
      <c r="T26" s="4">
        <f t="shared" si="0"/>
        <v>1261000</v>
      </c>
      <c r="U26" s="43"/>
      <c r="V26" s="39" t="s">
        <v>1494</v>
      </c>
      <c r="W26" s="158">
        <f>VLOOKUP($V26,'6.3A'!$U:$AH,2,0)</f>
        <v>244.41689900765073</v>
      </c>
      <c r="X26" s="158">
        <f>VLOOKUP($V26,'6.3A'!$U:$AH,3,0)</f>
        <v>34.50031220000011</v>
      </c>
      <c r="Y26" s="158">
        <f>VLOOKUP($V26,'6.3A'!$U:$AH,4,0)</f>
        <v>0</v>
      </c>
      <c r="Z26" s="158">
        <f>VLOOKUP($V26,'6.3A'!$U:$AH,5,0)</f>
        <v>75.158556477675532</v>
      </c>
      <c r="AA26" s="158">
        <f>VLOOKUP($V26,'6.3A'!$U:$AH,6,0)</f>
        <v>7.4709136186770428E-2</v>
      </c>
      <c r="AB26" s="158">
        <f>VLOOKUP($V26,'6.3A'!$U:$AH,7,0)</f>
        <v>121.98314601652903</v>
      </c>
      <c r="AC26" s="158">
        <f>VLOOKUP($V26,'6.3A'!$U:$AH,8,0)</f>
        <v>0</v>
      </c>
      <c r="AD26" s="158">
        <f>VLOOKUP($V26,'6.3A'!$U:$AH,9,0)</f>
        <v>5.8178532996894416</v>
      </c>
      <c r="AE26" s="158">
        <f>VLOOKUP($V26,'6.3A'!$U:$AH,10,0)</f>
        <v>1.1511895625479662E-2</v>
      </c>
      <c r="AF26" s="158">
        <f>VLOOKUP($V26,'6.3A'!$U:$AH,11,0)</f>
        <v>0.40525798194434465</v>
      </c>
      <c r="AG26" s="158">
        <f>VLOOKUP($V26,'6.3A'!$U:$AH,12,0)</f>
        <v>6.4655519999999997</v>
      </c>
      <c r="AH26" s="158">
        <f>VLOOKUP($V26,'6.3A'!$U:$AH,13,0)</f>
        <v>0</v>
      </c>
      <c r="AI26" s="158">
        <f>VLOOKUP($V26,'6.3A'!$U:$AH,14,0)</f>
        <v>0</v>
      </c>
    </row>
    <row r="27" spans="2:35" ht="21.75" customHeight="1" x14ac:dyDescent="0.3">
      <c r="B27" s="157" t="s">
        <v>1495</v>
      </c>
      <c r="C27" s="1084">
        <f t="shared" si="1"/>
        <v>7.6791902730375422E-2</v>
      </c>
      <c r="D27" s="1084">
        <f t="shared" si="2"/>
        <v>3.3769526266655858E-2</v>
      </c>
      <c r="E27" s="1084">
        <f t="shared" si="3"/>
        <v>0</v>
      </c>
      <c r="F27" s="1084">
        <f t="shared" si="2"/>
        <v>0</v>
      </c>
      <c r="G27" s="1084">
        <f t="shared" si="4"/>
        <v>0.6205703425529624</v>
      </c>
      <c r="H27" s="1084">
        <f t="shared" si="5"/>
        <v>0.27289812777175126</v>
      </c>
      <c r="I27" s="1084">
        <f t="shared" si="6"/>
        <v>4.6899689999999987</v>
      </c>
      <c r="J27" s="1084">
        <f t="shared" si="7"/>
        <v>2.0624313984168863</v>
      </c>
      <c r="K27" s="1084">
        <f t="shared" si="8"/>
        <v>0</v>
      </c>
      <c r="L27" s="1084">
        <f t="shared" si="9"/>
        <v>0</v>
      </c>
      <c r="M27" s="1084">
        <f t="shared" si="10"/>
        <v>0.10522875272331156</v>
      </c>
      <c r="N27" s="1084">
        <f t="shared" si="11"/>
        <v>4.6274737345343694E-2</v>
      </c>
      <c r="O27" s="1084">
        <f t="shared" si="12"/>
        <v>238.00183055326403</v>
      </c>
      <c r="P27" s="1084">
        <f t="shared" si="13"/>
        <v>104.66219461445209</v>
      </c>
      <c r="R27" s="62" t="s">
        <v>1495</v>
      </c>
      <c r="S27" s="39">
        <f>VLOOKUP($R27,'6.3A'!$Q:$R,2,0)</f>
        <v>2274</v>
      </c>
      <c r="T27" s="4">
        <f t="shared" si="0"/>
        <v>2274000</v>
      </c>
      <c r="U27" s="43"/>
      <c r="V27" s="39" t="s">
        <v>1495</v>
      </c>
      <c r="W27" s="158">
        <f>VLOOKUP($V27,'6.3A'!$U:$AH,2,0)</f>
        <v>238.00183055326403</v>
      </c>
      <c r="X27" s="158">
        <f>VLOOKUP($V27,'6.3A'!$U:$AH,3,0)</f>
        <v>31.371234943000033</v>
      </c>
      <c r="Y27" s="158">
        <f>VLOOKUP($V27,'6.3A'!$U:$AH,4,0)</f>
        <v>0</v>
      </c>
      <c r="Z27" s="158">
        <f>VLOOKUP($V27,'6.3A'!$U:$AH,5,0)</f>
        <v>62.771600701630064</v>
      </c>
      <c r="AA27" s="158">
        <f>VLOOKUP($V27,'6.3A'!$U:$AH,6,0)</f>
        <v>0.14941682490272373</v>
      </c>
      <c r="AB27" s="158">
        <f>VLOOKUP($V27,'6.3A'!$U:$AH,7,0)</f>
        <v>130.00015159504136</v>
      </c>
      <c r="AC27" s="158">
        <f>VLOOKUP($V27,'6.3A'!$U:$AH,8,0)</f>
        <v>7.6791902730375422E-2</v>
      </c>
      <c r="AD27" s="158">
        <f>VLOOKUP($V27,'6.3A'!$U:$AH,9,0)</f>
        <v>8.2168664906832287</v>
      </c>
      <c r="AE27" s="158">
        <f>VLOOKUP($V27,'6.3A'!$U:$AH,10,0)</f>
        <v>0</v>
      </c>
      <c r="AF27" s="158">
        <f>VLOOKUP($V27,'6.3A'!$U:$AH,11,0)</f>
        <v>0.6205703425529624</v>
      </c>
      <c r="AG27" s="158">
        <f>VLOOKUP($V27,'6.3A'!$U:$AH,12,0)</f>
        <v>4.6899689999999987</v>
      </c>
      <c r="AH27" s="158">
        <f>VLOOKUP($V27,'6.3A'!$U:$AH,13,0)</f>
        <v>0</v>
      </c>
      <c r="AI27" s="158">
        <f>VLOOKUP($V27,'6.3A'!$U:$AH,14,0)</f>
        <v>0.10522875272331156</v>
      </c>
    </row>
    <row r="28" spans="2:35" ht="21.75" customHeight="1" x14ac:dyDescent="0.3">
      <c r="B28" s="157" t="s">
        <v>1496</v>
      </c>
      <c r="C28" s="1084">
        <f t="shared" si="1"/>
        <v>2.9487996416382236</v>
      </c>
      <c r="D28" s="1084">
        <f t="shared" si="2"/>
        <v>4.2005692900829397</v>
      </c>
      <c r="E28" s="1084">
        <f t="shared" si="3"/>
        <v>0</v>
      </c>
      <c r="F28" s="1084">
        <f t="shared" si="2"/>
        <v>0</v>
      </c>
      <c r="G28" s="1084">
        <f t="shared" si="4"/>
        <v>0.24534320087253153</v>
      </c>
      <c r="H28" s="1084">
        <f t="shared" si="5"/>
        <v>0.34949173913466031</v>
      </c>
      <c r="I28" s="1084">
        <f t="shared" si="6"/>
        <v>2.1264599999999994</v>
      </c>
      <c r="J28" s="1084">
        <f t="shared" si="7"/>
        <v>3.0291452991452976</v>
      </c>
      <c r="K28" s="1084">
        <f t="shared" si="8"/>
        <v>0</v>
      </c>
      <c r="L28" s="1084">
        <f t="shared" si="9"/>
        <v>0</v>
      </c>
      <c r="M28" s="1084">
        <f t="shared" si="10"/>
        <v>0</v>
      </c>
      <c r="N28" s="1084">
        <f t="shared" si="11"/>
        <v>0</v>
      </c>
      <c r="O28" s="1084">
        <f t="shared" si="12"/>
        <v>158.0707879693943</v>
      </c>
      <c r="P28" s="1084">
        <f t="shared" si="13"/>
        <v>225.17206263446482</v>
      </c>
      <c r="R28" s="62" t="s">
        <v>1496</v>
      </c>
      <c r="S28" s="39">
        <f>VLOOKUP($R28,'6.3A'!$Q:$R,2,0)</f>
        <v>702</v>
      </c>
      <c r="T28" s="4">
        <f t="shared" si="0"/>
        <v>702000</v>
      </c>
      <c r="U28" s="43"/>
      <c r="V28" s="39" t="s">
        <v>1496</v>
      </c>
      <c r="W28" s="158">
        <f>VLOOKUP($V28,'6.3A'!$U:$AH,2,0)</f>
        <v>158.0707879693943</v>
      </c>
      <c r="X28" s="158">
        <f>VLOOKUP($V28,'6.3A'!$U:$AH,3,0)</f>
        <v>22.525480856999984</v>
      </c>
      <c r="Y28" s="158">
        <f>VLOOKUP($V28,'6.3A'!$U:$AH,4,0)</f>
        <v>0</v>
      </c>
      <c r="Z28" s="158">
        <f>VLOOKUP($V28,'6.3A'!$U:$AH,5,0)</f>
        <v>31.452127930545711</v>
      </c>
      <c r="AA28" s="158">
        <f>VLOOKUP($V28,'6.3A'!$U:$AH,6,0)</f>
        <v>8.082652350194552</v>
      </c>
      <c r="AB28" s="158">
        <f>VLOOKUP($V28,'6.3A'!$U:$AH,7,0)</f>
        <v>90.471200743801688</v>
      </c>
      <c r="AC28" s="158">
        <f>VLOOKUP($V28,'6.3A'!$U:$AH,8,0)</f>
        <v>2.9487996416382236</v>
      </c>
      <c r="AD28" s="158">
        <f>VLOOKUP($V28,'6.3A'!$U:$AH,9,0)</f>
        <v>0.21872324534161489</v>
      </c>
      <c r="AE28" s="158">
        <f>VLOOKUP($V28,'6.3A'!$U:$AH,10,0)</f>
        <v>0</v>
      </c>
      <c r="AF28" s="158">
        <f>VLOOKUP($V28,'6.3A'!$U:$AH,11,0)</f>
        <v>0.24534320087253153</v>
      </c>
      <c r="AG28" s="158">
        <f>VLOOKUP($V28,'6.3A'!$U:$AH,12,0)</f>
        <v>2.1264599999999994</v>
      </c>
      <c r="AH28" s="158">
        <f>VLOOKUP($V28,'6.3A'!$U:$AH,13,0)</f>
        <v>0</v>
      </c>
      <c r="AI28" s="158">
        <f>VLOOKUP($V28,'6.3A'!$U:$AH,14,0)</f>
        <v>0</v>
      </c>
    </row>
    <row r="29" spans="2:35" ht="21.75" customHeight="1" x14ac:dyDescent="0.3">
      <c r="B29" s="157" t="s">
        <v>390</v>
      </c>
      <c r="C29" s="1084">
        <f t="shared" si="1"/>
        <v>5.1194539249146756E-2</v>
      </c>
      <c r="D29" s="1084">
        <f t="shared" si="2"/>
        <v>1.2125660646410885E-2</v>
      </c>
      <c r="E29" s="1084">
        <f t="shared" si="3"/>
        <v>0</v>
      </c>
      <c r="F29" s="1084">
        <f t="shared" si="2"/>
        <v>0</v>
      </c>
      <c r="G29" s="1084">
        <f t="shared" si="4"/>
        <v>1.077444508685816</v>
      </c>
      <c r="H29" s="1084">
        <f t="shared" si="5"/>
        <v>0.25519765719701937</v>
      </c>
      <c r="I29" s="1084">
        <f t="shared" si="6"/>
        <v>3.8669479999999994</v>
      </c>
      <c r="J29" s="1084">
        <f t="shared" si="7"/>
        <v>0.91590431075319745</v>
      </c>
      <c r="K29" s="1084">
        <f t="shared" si="8"/>
        <v>0</v>
      </c>
      <c r="L29" s="1084">
        <f t="shared" si="9"/>
        <v>0</v>
      </c>
      <c r="M29" s="1084">
        <f t="shared" si="10"/>
        <v>0.40808962854030501</v>
      </c>
      <c r="N29" s="1084">
        <f t="shared" si="11"/>
        <v>9.6657894017125767E-2</v>
      </c>
      <c r="O29" s="1084">
        <f t="shared" si="12"/>
        <v>290.36814961608866</v>
      </c>
      <c r="P29" s="1084">
        <f t="shared" si="13"/>
        <v>68.775023594525976</v>
      </c>
      <c r="R29" s="62" t="s">
        <v>390</v>
      </c>
      <c r="S29" s="39">
        <f>VLOOKUP($R29,'6.3A'!$Q:$R,2,0)</f>
        <v>4222</v>
      </c>
      <c r="T29" s="4">
        <f t="shared" si="0"/>
        <v>4222000</v>
      </c>
      <c r="U29" s="43"/>
      <c r="V29" s="39" t="s">
        <v>390</v>
      </c>
      <c r="W29" s="158">
        <f>VLOOKUP($V29,'6.3A'!$U:$AH,2,0)</f>
        <v>290.36814961608866</v>
      </c>
      <c r="X29" s="158">
        <f>VLOOKUP($V29,'6.3A'!$U:$AH,3,0)</f>
        <v>70.68183106500021</v>
      </c>
      <c r="Y29" s="158">
        <f>VLOOKUP($V29,'6.3A'!$U:$AH,4,0)</f>
        <v>0</v>
      </c>
      <c r="Z29" s="158">
        <f>VLOOKUP($V29,'6.3A'!$U:$AH,5,0)</f>
        <v>72.135472324592655</v>
      </c>
      <c r="AA29" s="158">
        <f>VLOOKUP($V29,'6.3A'!$U:$AH,6,0)</f>
        <v>4.8218301089494116</v>
      </c>
      <c r="AB29" s="158">
        <f>VLOOKUP($V29,'6.3A'!$U:$AH,7,0)</f>
        <v>122.1949084628102</v>
      </c>
      <c r="AC29" s="158">
        <f>VLOOKUP($V29,'6.3A'!$U:$AH,8,0)</f>
        <v>5.1194539249146756E-2</v>
      </c>
      <c r="AD29" s="158">
        <f>VLOOKUP($V29,'6.3A'!$U:$AH,9,0)</f>
        <v>15.130430978260874</v>
      </c>
      <c r="AE29" s="158">
        <f>VLOOKUP($V29,'6.3A'!$U:$AH,10,0)</f>
        <v>0</v>
      </c>
      <c r="AF29" s="158">
        <f>VLOOKUP($V29,'6.3A'!$U:$AH,11,0)</f>
        <v>1.077444508685816</v>
      </c>
      <c r="AG29" s="158">
        <f>VLOOKUP($V29,'6.3A'!$U:$AH,12,0)</f>
        <v>3.8669479999999994</v>
      </c>
      <c r="AH29" s="158">
        <f>VLOOKUP($V29,'6.3A'!$U:$AH,13,0)</f>
        <v>0</v>
      </c>
      <c r="AI29" s="158">
        <f>VLOOKUP($V29,'6.3A'!$U:$AH,14,0)</f>
        <v>0.40808962854030501</v>
      </c>
    </row>
    <row r="30" spans="2:35" ht="21.75" customHeight="1" x14ac:dyDescent="0.3">
      <c r="B30" s="1086" t="s">
        <v>1497</v>
      </c>
      <c r="C30" s="1087">
        <f>SUM(C22:C29)</f>
        <v>6.241469138225253</v>
      </c>
      <c r="D30" s="1087">
        <f t="shared" si="2"/>
        <v>0.11749090108286905</v>
      </c>
      <c r="E30" s="1087">
        <f t="shared" ref="E30:O30" si="16">SUM(E22:E29)</f>
        <v>4.7880378549501197</v>
      </c>
      <c r="F30" s="1087">
        <f t="shared" si="2"/>
        <v>9.0131164560550397E-2</v>
      </c>
      <c r="G30" s="1087">
        <f t="shared" si="16"/>
        <v>60.286985641811377</v>
      </c>
      <c r="H30" s="1087">
        <f t="shared" si="5"/>
        <v>1.1348565713873724</v>
      </c>
      <c r="I30" s="1087">
        <f t="shared" si="16"/>
        <v>92.057078000000004</v>
      </c>
      <c r="J30" s="1087">
        <f t="shared" si="7"/>
        <v>1.7329043540462703</v>
      </c>
      <c r="K30" s="1087">
        <f t="shared" si="16"/>
        <v>133.59428</v>
      </c>
      <c r="L30" s="1087">
        <f t="shared" si="9"/>
        <v>2.5148105340436344</v>
      </c>
      <c r="M30" s="1087">
        <f t="shared" si="16"/>
        <v>50.766898959627056</v>
      </c>
      <c r="N30" s="1087">
        <f t="shared" si="11"/>
        <v>0.95564819305436544</v>
      </c>
      <c r="O30" s="1087">
        <f t="shared" si="16"/>
        <v>5644.5223158344552</v>
      </c>
      <c r="P30" s="1087">
        <f t="shared" si="13"/>
        <v>106.25383197173457</v>
      </c>
      <c r="R30" s="160" t="s">
        <v>1497</v>
      </c>
      <c r="S30" s="143">
        <f>VLOOKUP($R30,'6.3A'!$Q:$R,2,0)</f>
        <v>53123</v>
      </c>
      <c r="T30" s="4">
        <f t="shared" si="0"/>
        <v>53123000</v>
      </c>
      <c r="U30" s="43"/>
    </row>
    <row r="31" spans="2:35" ht="21.75" customHeight="1" x14ac:dyDescent="0.3">
      <c r="B31" s="157" t="s">
        <v>452</v>
      </c>
      <c r="C31" s="1084">
        <f t="shared" si="1"/>
        <v>53.563481100682566</v>
      </c>
      <c r="D31" s="1084">
        <f t="shared" si="2"/>
        <v>1.7352992224927128</v>
      </c>
      <c r="E31" s="1084">
        <f t="shared" si="3"/>
        <v>155.88485028340099</v>
      </c>
      <c r="F31" s="1084">
        <f t="shared" si="2"/>
        <v>5.0502105900606153</v>
      </c>
      <c r="G31" s="1084">
        <f t="shared" si="4"/>
        <v>30.001648571057562</v>
      </c>
      <c r="H31" s="1084">
        <f t="shared" si="5"/>
        <v>0.97196515926580362</v>
      </c>
      <c r="I31" s="1084">
        <f t="shared" si="6"/>
        <v>112.11680099999994</v>
      </c>
      <c r="J31" s="1084">
        <f t="shared" si="7"/>
        <v>3.6322545436874312</v>
      </c>
      <c r="K31" s="1084">
        <f t="shared" si="8"/>
        <v>352.39398999999992</v>
      </c>
      <c r="L31" s="1084">
        <f t="shared" si="9"/>
        <v>11.416528655198107</v>
      </c>
      <c r="M31" s="1084">
        <f t="shared" si="10"/>
        <v>40.174550058870466</v>
      </c>
      <c r="N31" s="1084">
        <f t="shared" si="11"/>
        <v>1.3015372423257998</v>
      </c>
      <c r="O31" s="1084">
        <f t="shared" si="12"/>
        <v>4552.0145426681793</v>
      </c>
      <c r="P31" s="1084">
        <f t="shared" si="13"/>
        <v>147.47188073567821</v>
      </c>
      <c r="R31" s="62" t="s">
        <v>452</v>
      </c>
      <c r="S31" s="39">
        <f>VLOOKUP($R31,'6.3A'!$Q:$R,2,0)</f>
        <v>30867</v>
      </c>
      <c r="T31" s="4">
        <f t="shared" si="0"/>
        <v>30867000</v>
      </c>
      <c r="U31" s="43"/>
      <c r="V31" s="39" t="s">
        <v>452</v>
      </c>
      <c r="W31" s="158">
        <f>VLOOKUP($V31,'6.3A'!$U:$AH,2,0)</f>
        <v>4552.0145426681793</v>
      </c>
      <c r="X31" s="158">
        <f>VLOOKUP($V31,'6.3A'!$U:$AH,3,0)</f>
        <v>415.6543652910014</v>
      </c>
      <c r="Y31" s="158">
        <f>VLOOKUP($V31,'6.3A'!$U:$AH,4,0)</f>
        <v>0</v>
      </c>
      <c r="Z31" s="158">
        <f>VLOOKUP($V31,'6.3A'!$U:$AH,5,0)</f>
        <v>944.51358270075775</v>
      </c>
      <c r="AA31" s="158">
        <f>VLOOKUP($V31,'6.3A'!$U:$AH,6,0)</f>
        <v>3.4876381789883242</v>
      </c>
      <c r="AB31" s="158">
        <f>VLOOKUP($V31,'6.3A'!$U:$AH,7,0)</f>
        <v>2407.8415376573339</v>
      </c>
      <c r="AC31" s="158">
        <f>VLOOKUP($V31,'6.3A'!$U:$AH,8,0)</f>
        <v>53.563481100682566</v>
      </c>
      <c r="AD31" s="158">
        <f>VLOOKUP($V31,'6.3A'!$U:$AH,9,0)</f>
        <v>36.382097826086962</v>
      </c>
      <c r="AE31" s="158">
        <f>VLOOKUP($V31,'6.3A'!$U:$AH,10,0)</f>
        <v>155.88485028340099</v>
      </c>
      <c r="AF31" s="158">
        <f>VLOOKUP($V31,'6.3A'!$U:$AH,11,0)</f>
        <v>30.001648571057562</v>
      </c>
      <c r="AG31" s="158">
        <f>VLOOKUP($V31,'6.3A'!$U:$AH,12,0)</f>
        <v>112.11680099999994</v>
      </c>
      <c r="AH31" s="158">
        <f>VLOOKUP($V31,'6.3A'!$U:$AH,13,0)</f>
        <v>352.39398999999992</v>
      </c>
      <c r="AI31" s="158">
        <f>VLOOKUP($V31,'6.3A'!$U:$AH,14,0)</f>
        <v>40.174550058870466</v>
      </c>
    </row>
    <row r="32" spans="2:35" ht="21.75" customHeight="1" x14ac:dyDescent="0.3">
      <c r="B32" s="157" t="s">
        <v>1498</v>
      </c>
      <c r="C32" s="1084">
        <f t="shared" si="1"/>
        <v>11.078165870307174</v>
      </c>
      <c r="D32" s="1084">
        <f t="shared" si="2"/>
        <v>7.6506670375049541</v>
      </c>
      <c r="E32" s="1084">
        <f t="shared" si="3"/>
        <v>62.475494714278632</v>
      </c>
      <c r="F32" s="1084">
        <f t="shared" si="2"/>
        <v>43.146059885551537</v>
      </c>
      <c r="G32" s="1084">
        <f t="shared" si="4"/>
        <v>188.41358517600543</v>
      </c>
      <c r="H32" s="1299">
        <f t="shared" si="5"/>
        <v>130.11987926519711</v>
      </c>
      <c r="I32" s="1084">
        <f t="shared" si="6"/>
        <v>1.1503879999999997</v>
      </c>
      <c r="J32" s="1084">
        <f t="shared" si="7"/>
        <v>0.79446685082872914</v>
      </c>
      <c r="K32" s="1084">
        <f t="shared" si="8"/>
        <v>0</v>
      </c>
      <c r="L32" s="1084">
        <f t="shared" si="9"/>
        <v>0</v>
      </c>
      <c r="M32" s="1084">
        <f t="shared" si="10"/>
        <v>9.5113759778185472</v>
      </c>
      <c r="N32" s="1084">
        <f t="shared" si="11"/>
        <v>6.5686298189354604</v>
      </c>
      <c r="O32" s="1084">
        <f t="shared" si="12"/>
        <v>543.74049672514366</v>
      </c>
      <c r="P32" s="1084">
        <f t="shared" si="13"/>
        <v>375.5113927659832</v>
      </c>
      <c r="R32" s="62" t="s">
        <v>1498</v>
      </c>
      <c r="S32" s="39">
        <f>VLOOKUP($R32,'6.3A'!$Q:$R,2,0)</f>
        <v>1448</v>
      </c>
      <c r="T32" s="4">
        <f t="shared" si="0"/>
        <v>1448000</v>
      </c>
      <c r="U32" s="43"/>
      <c r="V32" s="39" t="s">
        <v>1498</v>
      </c>
      <c r="W32" s="158">
        <f>VLOOKUP($V32,'6.3A'!$U:$AH,2,0)</f>
        <v>543.74049672514366</v>
      </c>
      <c r="X32" s="158">
        <f>VLOOKUP($V32,'6.3A'!$U:$AH,3,0)</f>
        <v>32.227988277999991</v>
      </c>
      <c r="Y32" s="158">
        <f>VLOOKUP($V32,'6.3A'!$U:$AH,4,0)</f>
        <v>0</v>
      </c>
      <c r="Z32" s="158">
        <f>VLOOKUP($V32,'6.3A'!$U:$AH,5,0)</f>
        <v>50.396691722182858</v>
      </c>
      <c r="AA32" s="158">
        <f>VLOOKUP($V32,'6.3A'!$U:$AH,6,0)</f>
        <v>0</v>
      </c>
      <c r="AB32" s="158">
        <f>VLOOKUP($V32,'6.3A'!$U:$AH,7,0)</f>
        <v>187.85552049586775</v>
      </c>
      <c r="AC32" s="158">
        <f>VLOOKUP($V32,'6.3A'!$U:$AH,8,0)</f>
        <v>11.078165870307174</v>
      </c>
      <c r="AD32" s="158">
        <f>VLOOKUP($V32,'6.3A'!$U:$AH,9,0)</f>
        <v>0.63128649068322984</v>
      </c>
      <c r="AE32" s="158">
        <f>VLOOKUP($V32,'6.3A'!$U:$AH,10,0)</f>
        <v>62.475494714278632</v>
      </c>
      <c r="AF32" s="158">
        <f>VLOOKUP($V32,'6.3A'!$U:$AH,11,0)</f>
        <v>188.41358517600543</v>
      </c>
      <c r="AG32" s="158">
        <f>VLOOKUP($V32,'6.3A'!$U:$AH,12,0)</f>
        <v>1.1503879999999997</v>
      </c>
      <c r="AH32" s="158">
        <f>VLOOKUP($V32,'6.3A'!$U:$AH,13,0)</f>
        <v>0</v>
      </c>
      <c r="AI32" s="158">
        <f>VLOOKUP($V32,'6.3A'!$U:$AH,14,0)</f>
        <v>9.5113759778185472</v>
      </c>
    </row>
    <row r="33" spans="2:35" ht="21.75" customHeight="1" x14ac:dyDescent="0.3">
      <c r="B33" s="157" t="s">
        <v>466</v>
      </c>
      <c r="C33" s="1084">
        <f t="shared" si="1"/>
        <v>0.9172354948805459</v>
      </c>
      <c r="D33" s="1084">
        <f t="shared" si="2"/>
        <v>0.57651508163453546</v>
      </c>
      <c r="E33" s="1084">
        <f t="shared" si="3"/>
        <v>18.90813</v>
      </c>
      <c r="F33" s="1084">
        <f t="shared" si="2"/>
        <v>11.884431175361408</v>
      </c>
      <c r="G33" s="1084">
        <f t="shared" si="4"/>
        <v>3.4495606806211834</v>
      </c>
      <c r="H33" s="1084">
        <f t="shared" si="5"/>
        <v>2.1681713894539181</v>
      </c>
      <c r="I33" s="1084">
        <f t="shared" si="6"/>
        <v>27.608675000000005</v>
      </c>
      <c r="J33" s="1084">
        <f t="shared" si="7"/>
        <v>17.353032683846642</v>
      </c>
      <c r="K33" s="1084">
        <f t="shared" si="8"/>
        <v>0.93281999999999998</v>
      </c>
      <c r="L33" s="1084">
        <f t="shared" si="9"/>
        <v>0.58631049654305456</v>
      </c>
      <c r="M33" s="1084">
        <f t="shared" si="10"/>
        <v>4.9683287221398578</v>
      </c>
      <c r="N33" s="1084">
        <f t="shared" si="11"/>
        <v>3.1227710384285716</v>
      </c>
      <c r="O33" s="1084">
        <f t="shared" si="12"/>
        <v>806.10961032757677</v>
      </c>
      <c r="P33" s="1084">
        <f t="shared" si="13"/>
        <v>506.66851686208469</v>
      </c>
      <c r="R33" s="62" t="s">
        <v>466</v>
      </c>
      <c r="S33" s="39">
        <f>VLOOKUP($R33,'6.3A'!$Q:$R,2,0)</f>
        <v>1591</v>
      </c>
      <c r="T33" s="4">
        <f t="shared" si="0"/>
        <v>1591000</v>
      </c>
      <c r="U33" s="43"/>
      <c r="V33" s="39" t="s">
        <v>466</v>
      </c>
      <c r="W33" s="158">
        <f>VLOOKUP($V33,'6.3A'!$U:$AH,2,0)</f>
        <v>806.10961032757677</v>
      </c>
      <c r="X33" s="158">
        <f>VLOOKUP($V33,'6.3A'!$U:$AH,3,0)</f>
        <v>77.162255630000104</v>
      </c>
      <c r="Y33" s="158">
        <f>VLOOKUP($V33,'6.3A'!$U:$AH,4,0)</f>
        <v>0</v>
      </c>
      <c r="Z33" s="158">
        <f>VLOOKUP($V33,'6.3A'!$U:$AH,5,0)</f>
        <v>237.42971836995028</v>
      </c>
      <c r="AA33" s="158">
        <f>VLOOKUP($V33,'6.3A'!$U:$AH,6,0)</f>
        <v>0</v>
      </c>
      <c r="AB33" s="158">
        <f>VLOOKUP($V33,'6.3A'!$U:$AH,7,0)</f>
        <v>292.83558100082541</v>
      </c>
      <c r="AC33" s="158">
        <f>VLOOKUP($V33,'6.3A'!$U:$AH,8,0)</f>
        <v>0.9172354948805459</v>
      </c>
      <c r="AD33" s="158">
        <f>VLOOKUP($V33,'6.3A'!$U:$AH,9,0)</f>
        <v>141.89730542915939</v>
      </c>
      <c r="AE33" s="158">
        <f>VLOOKUP($V33,'6.3A'!$U:$AH,10,0)</f>
        <v>18.90813</v>
      </c>
      <c r="AF33" s="158">
        <f>VLOOKUP($V33,'6.3A'!$U:$AH,11,0)</f>
        <v>3.4495606806211834</v>
      </c>
      <c r="AG33" s="158">
        <f>VLOOKUP($V33,'6.3A'!$U:$AH,12,0)</f>
        <v>27.608675000000005</v>
      </c>
      <c r="AH33" s="158">
        <f>VLOOKUP($V33,'6.3A'!$U:$AH,13,0)</f>
        <v>0.93281999999999998</v>
      </c>
      <c r="AI33" s="158">
        <f>VLOOKUP($V33,'6.3A'!$U:$AH,14,0)</f>
        <v>4.9683287221398578</v>
      </c>
    </row>
    <row r="34" spans="2:35" ht="21.75" customHeight="1" x14ac:dyDescent="0.3">
      <c r="B34" s="157" t="s">
        <v>822</v>
      </c>
      <c r="C34" s="1084">
        <f t="shared" si="1"/>
        <v>88.845128933447214</v>
      </c>
      <c r="D34" s="1084">
        <f t="shared" si="2"/>
        <v>1.2132837468890876</v>
      </c>
      <c r="E34" s="1084">
        <f t="shared" si="3"/>
        <v>1173.2566750914229</v>
      </c>
      <c r="F34" s="1084">
        <f t="shared" si="2"/>
        <v>16.022186831242887</v>
      </c>
      <c r="G34" s="1084">
        <f t="shared" si="4"/>
        <v>137.90333979099162</v>
      </c>
      <c r="H34" s="1084">
        <f t="shared" si="5"/>
        <v>1.883230772679362</v>
      </c>
      <c r="I34" s="1084">
        <f t="shared" si="6"/>
        <v>919.98566300000107</v>
      </c>
      <c r="J34" s="1084">
        <f t="shared" si="7"/>
        <v>12.563476081226884</v>
      </c>
      <c r="K34" s="1084">
        <f t="shared" si="8"/>
        <v>701.53368999999986</v>
      </c>
      <c r="L34" s="1084">
        <f t="shared" si="9"/>
        <v>9.5802598768213887</v>
      </c>
      <c r="M34" s="1084">
        <f t="shared" si="10"/>
        <v>4697.4154399573863</v>
      </c>
      <c r="N34" s="1299">
        <f t="shared" si="11"/>
        <v>64.148680677310097</v>
      </c>
      <c r="O34" s="1084">
        <f t="shared" si="12"/>
        <v>27237.189259011593</v>
      </c>
      <c r="P34" s="1084">
        <f t="shared" si="13"/>
        <v>371.95555271978361</v>
      </c>
      <c r="R34" s="62" t="s">
        <v>822</v>
      </c>
      <c r="S34" s="39">
        <f>VLOOKUP($R34,'6.3A'!$Q:$R,2,0)</f>
        <v>73227</v>
      </c>
      <c r="T34" s="4">
        <f t="shared" si="0"/>
        <v>73227000</v>
      </c>
      <c r="U34" s="43"/>
      <c r="V34" s="39" t="s">
        <v>822</v>
      </c>
      <c r="W34" s="158">
        <f>VLOOKUP($V34,'6.3A'!$U:$AH,2,0)</f>
        <v>27237.189259011593</v>
      </c>
      <c r="X34" s="158">
        <f>VLOOKUP($V34,'6.3A'!$U:$AH,3,0)</f>
        <v>1839.9513270279967</v>
      </c>
      <c r="Y34" s="158">
        <f>VLOOKUP($V34,'6.3A'!$U:$AH,4,0)</f>
        <v>6670.9458689999983</v>
      </c>
      <c r="Z34" s="158">
        <f>VLOOKUP($V34,'6.3A'!$U:$AH,5,0)</f>
        <v>2890.4057814105722</v>
      </c>
      <c r="AA34" s="158">
        <f>VLOOKUP($V34,'6.3A'!$U:$AH,6,0)</f>
        <v>1.8442812217898827</v>
      </c>
      <c r="AB34" s="158">
        <f>VLOOKUP($V34,'6.3A'!$U:$AH,7,0)</f>
        <v>7704.4688901557556</v>
      </c>
      <c r="AC34" s="158">
        <f>VLOOKUP($V34,'6.3A'!$U:$AH,8,0)</f>
        <v>88.845128933447214</v>
      </c>
      <c r="AD34" s="158">
        <f>VLOOKUP($V34,'6.3A'!$U:$AH,9,0)</f>
        <v>410.6331734222303</v>
      </c>
      <c r="AE34" s="158">
        <f>VLOOKUP($V34,'6.3A'!$U:$AH,10,0)</f>
        <v>1173.2566750914229</v>
      </c>
      <c r="AF34" s="158">
        <f>VLOOKUP($V34,'6.3A'!$U:$AH,11,0)</f>
        <v>137.90333979099162</v>
      </c>
      <c r="AG34" s="158">
        <f>VLOOKUP($V34,'6.3A'!$U:$AH,12,0)</f>
        <v>919.98566300000107</v>
      </c>
      <c r="AH34" s="158">
        <f>VLOOKUP($V34,'6.3A'!$U:$AH,13,0)</f>
        <v>701.53368999999986</v>
      </c>
      <c r="AI34" s="158">
        <f>VLOOKUP($V34,'6.3A'!$U:$AH,14,0)</f>
        <v>4697.4154399573863</v>
      </c>
    </row>
    <row r="35" spans="2:35" ht="21.75" customHeight="1" x14ac:dyDescent="0.3">
      <c r="B35" s="157" t="s">
        <v>578</v>
      </c>
      <c r="C35" s="1084">
        <f t="shared" si="1"/>
        <v>18.277445665528997</v>
      </c>
      <c r="D35" s="1084">
        <f t="shared" si="2"/>
        <v>0.2061962936511208</v>
      </c>
      <c r="E35" s="1084">
        <f t="shared" si="3"/>
        <v>70.515773535431933</v>
      </c>
      <c r="F35" s="1084">
        <f t="shared" si="2"/>
        <v>0.79552096135458694</v>
      </c>
      <c r="G35" s="1084">
        <f t="shared" si="4"/>
        <v>50.39805909208097</v>
      </c>
      <c r="H35" s="1084">
        <f t="shared" si="5"/>
        <v>0.56856374693517642</v>
      </c>
      <c r="I35" s="1084">
        <f t="shared" si="6"/>
        <v>295.85766299999995</v>
      </c>
      <c r="J35" s="1084">
        <f t="shared" si="7"/>
        <v>3.3377067384167591</v>
      </c>
      <c r="K35" s="1084">
        <f t="shared" si="8"/>
        <v>808.12347999999986</v>
      </c>
      <c r="L35" s="1084">
        <f t="shared" si="9"/>
        <v>9.1168136641057735</v>
      </c>
      <c r="M35" s="1084">
        <f t="shared" si="10"/>
        <v>197.14198553716855</v>
      </c>
      <c r="N35" s="1084">
        <f t="shared" si="11"/>
        <v>2.2240496557706764</v>
      </c>
      <c r="O35" s="1084">
        <f t="shared" si="12"/>
        <v>9586.4748012753535</v>
      </c>
      <c r="P35" s="1084">
        <f t="shared" si="13"/>
        <v>108.14944327427888</v>
      </c>
      <c r="R35" s="62" t="s">
        <v>578</v>
      </c>
      <c r="S35" s="39">
        <f>VLOOKUP($R35,'6.3A'!$Q:$R,2,0)</f>
        <v>88641</v>
      </c>
      <c r="T35" s="4">
        <f t="shared" si="0"/>
        <v>88641000</v>
      </c>
      <c r="U35" s="43"/>
      <c r="V35" s="39" t="s">
        <v>578</v>
      </c>
      <c r="W35" s="158">
        <f>VLOOKUP($V35,'6.3A'!$U:$AH,2,0)</f>
        <v>9586.4748012753535</v>
      </c>
      <c r="X35" s="158">
        <f>VLOOKUP($V35,'6.3A'!$U:$AH,3,0)</f>
        <v>1335.6159528299929</v>
      </c>
      <c r="Y35" s="158">
        <f>VLOOKUP($V35,'6.3A'!$U:$AH,4,0)</f>
        <v>0.18922</v>
      </c>
      <c r="Z35" s="158">
        <f>VLOOKUP($V35,'6.3A'!$U:$AH,5,0)</f>
        <v>2072.1750610276022</v>
      </c>
      <c r="AA35" s="158">
        <f>VLOOKUP($V35,'6.3A'!$U:$AH,6,0)</f>
        <v>0.11714617898832684</v>
      </c>
      <c r="AB35" s="158">
        <f>VLOOKUP($V35,'6.3A'!$U:$AH,7,0)</f>
        <v>4624.608396605764</v>
      </c>
      <c r="AC35" s="158">
        <f>VLOOKUP($V35,'6.3A'!$U:$AH,8,0)</f>
        <v>18.277445665528997</v>
      </c>
      <c r="AD35" s="158">
        <f>VLOOKUP($V35,'6.3A'!$U:$AH,9,0)</f>
        <v>113.45461780279506</v>
      </c>
      <c r="AE35" s="158">
        <f>VLOOKUP($V35,'6.3A'!$U:$AH,10,0)</f>
        <v>70.515773535431933</v>
      </c>
      <c r="AF35" s="158">
        <f>VLOOKUP($V35,'6.3A'!$U:$AH,11,0)</f>
        <v>50.39805909208097</v>
      </c>
      <c r="AG35" s="158">
        <f>VLOOKUP($V35,'6.3A'!$U:$AH,12,0)</f>
        <v>295.85766299999995</v>
      </c>
      <c r="AH35" s="158">
        <f>VLOOKUP($V35,'6.3A'!$U:$AH,13,0)</f>
        <v>808.12347999999986</v>
      </c>
      <c r="AI35" s="158">
        <f>VLOOKUP($V35,'6.3A'!$U:$AH,14,0)</f>
        <v>197.14198553716855</v>
      </c>
    </row>
    <row r="36" spans="2:35" ht="21.75" customHeight="1" x14ac:dyDescent="0.3">
      <c r="B36" s="157" t="s">
        <v>606</v>
      </c>
      <c r="C36" s="1084">
        <f t="shared" si="1"/>
        <v>169.6704905204783</v>
      </c>
      <c r="D36" s="1084">
        <f t="shared" si="2"/>
        <v>1.322100850285024</v>
      </c>
      <c r="E36" s="1084">
        <f t="shared" si="3"/>
        <v>905.46374281351427</v>
      </c>
      <c r="F36" s="1084">
        <f t="shared" si="2"/>
        <v>7.0555249802352797</v>
      </c>
      <c r="G36" s="1084">
        <f t="shared" si="4"/>
        <v>483.03990654558794</v>
      </c>
      <c r="H36" s="1084">
        <f t="shared" si="5"/>
        <v>3.7639277708603172</v>
      </c>
      <c r="I36" s="1084">
        <f t="shared" si="6"/>
        <v>541.05368999999848</v>
      </c>
      <c r="J36" s="1084">
        <f t="shared" si="7"/>
        <v>4.2159808780214005</v>
      </c>
      <c r="K36" s="1084">
        <f t="shared" si="8"/>
        <v>102.24161499999992</v>
      </c>
      <c r="L36" s="1084">
        <f t="shared" si="9"/>
        <v>0.79668377047391892</v>
      </c>
      <c r="M36" s="1084">
        <f t="shared" si="10"/>
        <v>641.65370044386179</v>
      </c>
      <c r="N36" s="1084">
        <f t="shared" si="11"/>
        <v>4.9998729911314364</v>
      </c>
      <c r="O36" s="1084">
        <f t="shared" si="12"/>
        <v>24293.904226234616</v>
      </c>
      <c r="P36" s="1084">
        <f t="shared" si="13"/>
        <v>189.30216642693765</v>
      </c>
      <c r="R36" s="62" t="s">
        <v>606</v>
      </c>
      <c r="S36" s="39">
        <f>VLOOKUP($R36,'6.3A'!$Q:$R,2,0)</f>
        <v>128334</v>
      </c>
      <c r="T36" s="4">
        <f t="shared" si="0"/>
        <v>128334000</v>
      </c>
      <c r="U36" s="43"/>
      <c r="V36" s="39" t="s">
        <v>606</v>
      </c>
      <c r="W36" s="158">
        <f>VLOOKUP($V36,'6.3A'!$U:$AH,2,0)</f>
        <v>24293.904226234616</v>
      </c>
      <c r="X36" s="158">
        <f>VLOOKUP($V36,'6.3A'!$U:$AH,3,0)</f>
        <v>3650.3242496350022</v>
      </c>
      <c r="Y36" s="158">
        <f>VLOOKUP($V36,'6.3A'!$U:$AH,4,0)</f>
        <v>279.03604799999994</v>
      </c>
      <c r="Z36" s="158">
        <f>VLOOKUP($V36,'6.3A'!$U:$AH,5,0)</f>
        <v>4645.5134801344357</v>
      </c>
      <c r="AA36" s="158">
        <f>VLOOKUP($V36,'6.3A'!$U:$AH,6,0)</f>
        <v>1.7400787859922171</v>
      </c>
      <c r="AB36" s="158">
        <f>VLOOKUP($V36,'6.3A'!$U:$AH,7,0)</f>
        <v>11256.578928711851</v>
      </c>
      <c r="AC36" s="158">
        <f>VLOOKUP($V36,'6.3A'!$U:$AH,8,0)</f>
        <v>169.6704905204783</v>
      </c>
      <c r="AD36" s="158">
        <f>VLOOKUP($V36,'6.3A'!$U:$AH,9,0)</f>
        <v>1617.5882956438936</v>
      </c>
      <c r="AE36" s="158">
        <f>VLOOKUP($V36,'6.3A'!$U:$AH,10,0)</f>
        <v>905.46374281351427</v>
      </c>
      <c r="AF36" s="158">
        <f>VLOOKUP($V36,'6.3A'!$U:$AH,11,0)</f>
        <v>483.03990654558794</v>
      </c>
      <c r="AG36" s="158">
        <f>VLOOKUP($V36,'6.3A'!$U:$AH,12,0)</f>
        <v>541.05368999999848</v>
      </c>
      <c r="AH36" s="158">
        <f>VLOOKUP($V36,'6.3A'!$U:$AH,13,0)</f>
        <v>102.24161499999992</v>
      </c>
      <c r="AI36" s="158">
        <f>VLOOKUP($V36,'6.3A'!$U:$AH,14,0)</f>
        <v>641.65370044386179</v>
      </c>
    </row>
    <row r="37" spans="2:35" ht="21.75" customHeight="1" x14ac:dyDescent="0.3">
      <c r="B37" s="1086" t="s">
        <v>1499</v>
      </c>
      <c r="C37" s="1087">
        <f>SUM(C31:C36)</f>
        <v>342.35194758532475</v>
      </c>
      <c r="D37" s="1087">
        <f t="shared" si="2"/>
        <v>1.0562897169626322</v>
      </c>
      <c r="E37" s="1087">
        <f t="shared" ref="E37:O37" si="17">SUM(E31:E36)</f>
        <v>2386.5046664380488</v>
      </c>
      <c r="F37" s="1087">
        <f t="shared" si="2"/>
        <v>7.3633007097573921</v>
      </c>
      <c r="G37" s="1087">
        <f t="shared" si="17"/>
        <v>893.20609985634474</v>
      </c>
      <c r="H37" s="1087">
        <f t="shared" si="5"/>
        <v>2.7558903200672145</v>
      </c>
      <c r="I37" s="1087">
        <f t="shared" si="17"/>
        <v>1897.7728799999995</v>
      </c>
      <c r="J37" s="1087">
        <f t="shared" si="7"/>
        <v>5.8553719130660138</v>
      </c>
      <c r="K37" s="1087">
        <f t="shared" si="17"/>
        <v>1965.2255949999994</v>
      </c>
      <c r="L37" s="1087">
        <f t="shared" si="9"/>
        <v>6.0634899323682214</v>
      </c>
      <c r="M37" s="1087">
        <f t="shared" si="17"/>
        <v>5590.8653806972452</v>
      </c>
      <c r="N37" s="1087">
        <f t="shared" si="11"/>
        <v>17.250007345382542</v>
      </c>
      <c r="O37" s="1087">
        <f t="shared" si="17"/>
        <v>67019.432936242461</v>
      </c>
      <c r="P37" s="1087">
        <f t="shared" si="13"/>
        <v>206.78117459687036</v>
      </c>
      <c r="R37" s="160" t="s">
        <v>1499</v>
      </c>
      <c r="S37" s="143">
        <f>VLOOKUP($R37,'6.3A'!$Q:$R,2,0)</f>
        <v>324108</v>
      </c>
      <c r="T37" s="4">
        <f t="shared" si="0"/>
        <v>324108000</v>
      </c>
      <c r="U37" s="43"/>
    </row>
    <row r="38" spans="2:35" ht="21.75" customHeight="1" x14ac:dyDescent="0.3">
      <c r="B38" s="157" t="s">
        <v>221</v>
      </c>
      <c r="C38" s="1084">
        <f t="shared" si="1"/>
        <v>49.176124931740596</v>
      </c>
      <c r="D38" s="1084">
        <f t="shared" si="2"/>
        <v>0.91876774777185177</v>
      </c>
      <c r="E38" s="1084">
        <f t="shared" si="3"/>
        <v>480.58036817920197</v>
      </c>
      <c r="F38" s="1084">
        <f t="shared" si="2"/>
        <v>8.9787827550108723</v>
      </c>
      <c r="G38" s="1084">
        <f t="shared" si="4"/>
        <v>40.689180368610529</v>
      </c>
      <c r="H38" s="1084">
        <f t="shared" si="5"/>
        <v>0.76020440117723864</v>
      </c>
      <c r="I38" s="1084">
        <f t="shared" si="6"/>
        <v>267.8094980000003</v>
      </c>
      <c r="J38" s="1084">
        <f t="shared" si="7"/>
        <v>5.0035404304611069</v>
      </c>
      <c r="K38" s="1084">
        <f t="shared" si="8"/>
        <v>675.56368199999974</v>
      </c>
      <c r="L38" s="1084">
        <f t="shared" si="9"/>
        <v>12.621696472610413</v>
      </c>
      <c r="M38" s="1084">
        <f t="shared" si="10"/>
        <v>286.58345501340091</v>
      </c>
      <c r="N38" s="1084">
        <f t="shared" si="11"/>
        <v>5.354298165559392</v>
      </c>
      <c r="O38" s="1084">
        <f t="shared" si="12"/>
        <v>8797.0303529026678</v>
      </c>
      <c r="P38" s="1084">
        <f t="shared" si="13"/>
        <v>164.35674375799022</v>
      </c>
      <c r="R38" s="62" t="s">
        <v>221</v>
      </c>
      <c r="S38" s="39">
        <f>VLOOKUP($R38,'6.3A'!$Q:$R,2,0)</f>
        <v>53524</v>
      </c>
      <c r="T38" s="4">
        <f t="shared" si="0"/>
        <v>53524000</v>
      </c>
      <c r="U38" s="43"/>
      <c r="V38" s="39" t="s">
        <v>221</v>
      </c>
      <c r="W38" s="158">
        <f>VLOOKUP($V38,'6.3A'!$U:$AH,2,0)</f>
        <v>8797.0303529026678</v>
      </c>
      <c r="X38" s="158">
        <f>VLOOKUP($V38,'6.3A'!$U:$AH,3,0)</f>
        <v>1416.5334351080035</v>
      </c>
      <c r="Y38" s="158">
        <f>VLOOKUP($V38,'6.3A'!$U:$AH,4,0)</f>
        <v>17.899420000000003</v>
      </c>
      <c r="Z38" s="158">
        <f>VLOOKUP($V38,'6.3A'!$U:$AH,5,0)</f>
        <v>1711.6925827884538</v>
      </c>
      <c r="AA38" s="158">
        <f>VLOOKUP($V38,'6.3A'!$U:$AH,6,0)</f>
        <v>1.2731517120622562</v>
      </c>
      <c r="AB38" s="158">
        <f>VLOOKUP($V38,'6.3A'!$U:$AH,7,0)</f>
        <v>3745.029862868405</v>
      </c>
      <c r="AC38" s="158">
        <f>VLOOKUP($V38,'6.3A'!$U:$AH,8,0)</f>
        <v>49.176124931740596</v>
      </c>
      <c r="AD38" s="158">
        <f>VLOOKUP($V38,'6.3A'!$U:$AH,9,0)</f>
        <v>104.19959193279071</v>
      </c>
      <c r="AE38" s="158">
        <f>VLOOKUP($V38,'6.3A'!$U:$AH,10,0)</f>
        <v>480.58036817920197</v>
      </c>
      <c r="AF38" s="158">
        <f>VLOOKUP($V38,'6.3A'!$U:$AH,11,0)</f>
        <v>40.689180368610529</v>
      </c>
      <c r="AG38" s="158">
        <f>VLOOKUP($V38,'6.3A'!$U:$AH,12,0)</f>
        <v>267.8094980000003</v>
      </c>
      <c r="AH38" s="158">
        <f>VLOOKUP($V38,'6.3A'!$U:$AH,13,0)</f>
        <v>675.56368199999974</v>
      </c>
      <c r="AI38" s="158">
        <f>VLOOKUP($V38,'6.3A'!$U:$AH,14,0)</f>
        <v>286.58345501340091</v>
      </c>
    </row>
    <row r="39" spans="2:35" ht="21.75" customHeight="1" x14ac:dyDescent="0.3">
      <c r="B39" s="157" t="s">
        <v>550</v>
      </c>
      <c r="C39" s="1084">
        <f t="shared" si="1"/>
        <v>15.449232517064845</v>
      </c>
      <c r="D39" s="1084">
        <f t="shared" si="2"/>
        <v>0.22541119549833441</v>
      </c>
      <c r="E39" s="1084">
        <f t="shared" si="3"/>
        <v>374.54487813699149</v>
      </c>
      <c r="F39" s="1084">
        <f t="shared" si="2"/>
        <v>5.4647768848958451</v>
      </c>
      <c r="G39" s="1084">
        <f t="shared" si="4"/>
        <v>75.368721304190288</v>
      </c>
      <c r="H39" s="1084">
        <f t="shared" si="5"/>
        <v>1.0996632715309798</v>
      </c>
      <c r="I39" s="1084">
        <f t="shared" si="6"/>
        <v>164.38897200000034</v>
      </c>
      <c r="J39" s="1084">
        <f t="shared" si="7"/>
        <v>2.3985084478683407</v>
      </c>
      <c r="K39" s="1084">
        <f t="shared" si="8"/>
        <v>722.81139700000006</v>
      </c>
      <c r="L39" s="1084">
        <f t="shared" si="9"/>
        <v>10.546140783215153</v>
      </c>
      <c r="M39" s="1084">
        <f t="shared" si="10"/>
        <v>164.97586977336266</v>
      </c>
      <c r="N39" s="1084">
        <f t="shared" si="11"/>
        <v>2.4070715482413059</v>
      </c>
      <c r="O39" s="1084">
        <f t="shared" si="12"/>
        <v>16355.775470162464</v>
      </c>
      <c r="P39" s="1084">
        <f t="shared" si="13"/>
        <v>238.63806166159597</v>
      </c>
      <c r="R39" s="62" t="s">
        <v>550</v>
      </c>
      <c r="S39" s="39">
        <f>VLOOKUP($R39,'6.3A'!$Q:$R,2,0)</f>
        <v>68538</v>
      </c>
      <c r="T39" s="4">
        <f t="shared" si="0"/>
        <v>68538000</v>
      </c>
      <c r="U39" s="43"/>
      <c r="V39" s="39" t="s">
        <v>550</v>
      </c>
      <c r="W39" s="158">
        <f>VLOOKUP($V39,'6.3A'!$U:$AH,2,0)</f>
        <v>16355.775470162464</v>
      </c>
      <c r="X39" s="158">
        <f>VLOOKUP($V39,'6.3A'!$U:$AH,3,0)</f>
        <v>2277.1647722650041</v>
      </c>
      <c r="Y39" s="158">
        <f>VLOOKUP($V39,'6.3A'!$U:$AH,4,0)</f>
        <v>2.6344799999999999</v>
      </c>
      <c r="Z39" s="158">
        <f>VLOOKUP($V39,'6.3A'!$U:$AH,5,0)</f>
        <v>3225.0662547953934</v>
      </c>
      <c r="AA39" s="158">
        <f>VLOOKUP($V39,'6.3A'!$U:$AH,6,0)</f>
        <v>22.210143214007761</v>
      </c>
      <c r="AB39" s="158">
        <f>VLOOKUP($V39,'6.3A'!$U:$AH,7,0)</f>
        <v>8235.6455993973523</v>
      </c>
      <c r="AC39" s="158">
        <f>VLOOKUP($V39,'6.3A'!$U:$AH,8,0)</f>
        <v>15.449232517064845</v>
      </c>
      <c r="AD39" s="158">
        <f>VLOOKUP($V39,'6.3A'!$U:$AH,9,0)</f>
        <v>1075.5151497590953</v>
      </c>
      <c r="AE39" s="158">
        <f>VLOOKUP($V39,'6.3A'!$U:$AH,10,0)</f>
        <v>374.54487813699149</v>
      </c>
      <c r="AF39" s="158">
        <f>VLOOKUP($V39,'6.3A'!$U:$AH,11,0)</f>
        <v>75.368721304190288</v>
      </c>
      <c r="AG39" s="158">
        <f>VLOOKUP($V39,'6.3A'!$U:$AH,12,0)</f>
        <v>164.38897200000034</v>
      </c>
      <c r="AH39" s="158">
        <f>VLOOKUP($V39,'6.3A'!$U:$AH,13,0)</f>
        <v>722.81139700000006</v>
      </c>
      <c r="AI39" s="158">
        <f>VLOOKUP($V39,'6.3A'!$U:$AH,14,0)</f>
        <v>164.97586977336266</v>
      </c>
    </row>
    <row r="40" spans="2:35" ht="21.75" customHeight="1" x14ac:dyDescent="0.3">
      <c r="B40" s="157" t="s">
        <v>568</v>
      </c>
      <c r="C40" s="1084">
        <f t="shared" si="1"/>
        <v>9.9030042491467452</v>
      </c>
      <c r="D40" s="1084">
        <f t="shared" si="2"/>
        <v>0.27460289629666818</v>
      </c>
      <c r="E40" s="1084">
        <f t="shared" si="3"/>
        <v>507.02575443446955</v>
      </c>
      <c r="F40" s="1084">
        <f t="shared" si="2"/>
        <v>14.059444706055226</v>
      </c>
      <c r="G40" s="1084">
        <f t="shared" si="4"/>
        <v>46.018056643041319</v>
      </c>
      <c r="H40" s="1084">
        <f t="shared" si="5"/>
        <v>1.2760462702227022</v>
      </c>
      <c r="I40" s="1084">
        <f t="shared" si="6"/>
        <v>214.6762700000007</v>
      </c>
      <c r="J40" s="1084">
        <f t="shared" si="7"/>
        <v>5.9528123006960234</v>
      </c>
      <c r="K40" s="1084">
        <f t="shared" si="8"/>
        <v>16.252758999999998</v>
      </c>
      <c r="L40" s="1084">
        <f t="shared" si="9"/>
        <v>0.45067684330199925</v>
      </c>
      <c r="M40" s="1084">
        <f t="shared" si="10"/>
        <v>256.54671045434765</v>
      </c>
      <c r="N40" s="1084">
        <f t="shared" si="11"/>
        <v>7.113848278134034</v>
      </c>
      <c r="O40" s="1084">
        <f t="shared" si="12"/>
        <v>7266.906900408846</v>
      </c>
      <c r="P40" s="1084">
        <f t="shared" si="13"/>
        <v>201.50588970437417</v>
      </c>
      <c r="R40" s="62" t="s">
        <v>568</v>
      </c>
      <c r="S40" s="39">
        <f>VLOOKUP($R40,'6.3A'!$Q:$R,2,0)</f>
        <v>36063</v>
      </c>
      <c r="T40" s="4">
        <f t="shared" si="0"/>
        <v>36063000</v>
      </c>
      <c r="U40" s="43"/>
      <c r="V40" s="39" t="s">
        <v>568</v>
      </c>
      <c r="W40" s="158">
        <f>VLOOKUP($V40,'6.3A'!$U:$AH,2,0)</f>
        <v>7266.906900408846</v>
      </c>
      <c r="X40" s="158">
        <f>VLOOKUP($V40,'6.3A'!$U:$AH,3,0)</f>
        <v>1219.0048083170038</v>
      </c>
      <c r="Y40" s="158">
        <f>VLOOKUP($V40,'6.3A'!$U:$AH,4,0)</f>
        <v>2.1771399999999996</v>
      </c>
      <c r="Z40" s="158">
        <f>VLOOKUP($V40,'6.3A'!$U:$AH,5,0)</f>
        <v>1981.6705411977339</v>
      </c>
      <c r="AA40" s="158">
        <f>VLOOKUP($V40,'6.3A'!$U:$AH,6,0)</f>
        <v>18.989890474708123</v>
      </c>
      <c r="AB40" s="158">
        <f>VLOOKUP($V40,'6.3A'!$U:$AH,7,0)</f>
        <v>2486.9606260099185</v>
      </c>
      <c r="AC40" s="158">
        <f>VLOOKUP($V40,'6.3A'!$U:$AH,8,0)</f>
        <v>9.9030042491467452</v>
      </c>
      <c r="AD40" s="158">
        <f>VLOOKUP($V40,'6.3A'!$U:$AH,9,0)</f>
        <v>507.68133962847514</v>
      </c>
      <c r="AE40" s="158">
        <f>VLOOKUP($V40,'6.3A'!$U:$AH,10,0)</f>
        <v>507.02575443446955</v>
      </c>
      <c r="AF40" s="158">
        <f>VLOOKUP($V40,'6.3A'!$U:$AH,11,0)</f>
        <v>46.018056643041319</v>
      </c>
      <c r="AG40" s="158">
        <f>VLOOKUP($V40,'6.3A'!$U:$AH,12,0)</f>
        <v>214.6762700000007</v>
      </c>
      <c r="AH40" s="158">
        <f>VLOOKUP($V40,'6.3A'!$U:$AH,13,0)</f>
        <v>16.252758999999998</v>
      </c>
      <c r="AI40" s="158">
        <f>VLOOKUP($V40,'6.3A'!$U:$AH,14,0)</f>
        <v>256.54671045434765</v>
      </c>
    </row>
    <row r="41" spans="2:35" ht="21.75" customHeight="1" x14ac:dyDescent="0.3">
      <c r="B41" s="157" t="s">
        <v>1500</v>
      </c>
      <c r="C41" s="1084">
        <f t="shared" si="1"/>
        <v>0</v>
      </c>
      <c r="D41" s="1084">
        <f t="shared" si="2"/>
        <v>0</v>
      </c>
      <c r="E41" s="1084">
        <f t="shared" si="3"/>
        <v>0</v>
      </c>
      <c r="F41" s="1084">
        <f t="shared" si="2"/>
        <v>0</v>
      </c>
      <c r="G41" s="1084">
        <f t="shared" si="4"/>
        <v>0.10964292100538603</v>
      </c>
      <c r="H41" s="1084">
        <f t="shared" si="5"/>
        <v>1.5890278406577685</v>
      </c>
      <c r="I41" s="1084">
        <f t="shared" si="6"/>
        <v>9.7500000000000003E-2</v>
      </c>
      <c r="J41" s="1084">
        <f t="shared" si="7"/>
        <v>1.4130434782608696</v>
      </c>
      <c r="K41" s="1084">
        <f t="shared" si="8"/>
        <v>0</v>
      </c>
      <c r="L41" s="1084">
        <f t="shared" si="9"/>
        <v>0</v>
      </c>
      <c r="M41" s="1084">
        <f t="shared" si="10"/>
        <v>0</v>
      </c>
      <c r="N41" s="1298">
        <f t="shared" si="11"/>
        <v>0</v>
      </c>
      <c r="O41" s="1084">
        <f t="shared" si="12"/>
        <v>22.496070845095243</v>
      </c>
      <c r="P41" s="1084">
        <f t="shared" si="13"/>
        <v>326.03001224775716</v>
      </c>
      <c r="R41" s="62" t="s">
        <v>1500</v>
      </c>
      <c r="S41" s="39">
        <f>VLOOKUP($R41,'6.3A'!$Q:$R,2,0)</f>
        <v>69</v>
      </c>
      <c r="T41" s="4">
        <f t="shared" si="0"/>
        <v>69000</v>
      </c>
      <c r="U41" s="43"/>
      <c r="V41" s="39" t="s">
        <v>1500</v>
      </c>
      <c r="W41" s="158">
        <f>VLOOKUP($V41,'6.3A'!$U:$AH,2,0)</f>
        <v>22.496070845095243</v>
      </c>
      <c r="X41" s="158">
        <f>VLOOKUP($V41,'6.3A'!$U:$AH,3,0)</f>
        <v>1.1320875999999997</v>
      </c>
      <c r="Y41" s="158">
        <f>VLOOKUP($V41,'6.3A'!$U:$AH,4,0)</f>
        <v>0</v>
      </c>
      <c r="Z41" s="158">
        <f>VLOOKUP($V41,'6.3A'!$U:$AH,5,0)</f>
        <v>1.1429664776754076</v>
      </c>
      <c r="AA41" s="158">
        <f>VLOOKUP($V41,'6.3A'!$U:$AH,6,0)</f>
        <v>0</v>
      </c>
      <c r="AB41" s="158">
        <f>VLOOKUP($V41,'6.3A'!$U:$AH,7,0)</f>
        <v>19.70809518181818</v>
      </c>
      <c r="AC41" s="158">
        <f>VLOOKUP($V41,'6.3A'!$U:$AH,8,0)</f>
        <v>0</v>
      </c>
      <c r="AD41" s="158">
        <f>VLOOKUP($V41,'6.3A'!$U:$AH,9,0)</f>
        <v>0.30577866459627329</v>
      </c>
      <c r="AE41" s="158">
        <f>VLOOKUP($V41,'6.3A'!$U:$AH,10,0)</f>
        <v>0</v>
      </c>
      <c r="AF41" s="158">
        <f>VLOOKUP($V41,'6.3A'!$U:$AH,11,0)</f>
        <v>0.10964292100538603</v>
      </c>
      <c r="AG41" s="158">
        <f>VLOOKUP($V41,'6.3A'!$U:$AH,12,0)</f>
        <v>9.7500000000000003E-2</v>
      </c>
      <c r="AH41" s="158">
        <f>VLOOKUP($V41,'6.3A'!$U:$AH,13,0)</f>
        <v>0</v>
      </c>
      <c r="AI41" s="158">
        <f>VLOOKUP($V41,'6.3A'!$U:$AH,14,0)</f>
        <v>0</v>
      </c>
    </row>
    <row r="42" spans="2:35" ht="21.75" customHeight="1" x14ac:dyDescent="0.3">
      <c r="B42" s="157" t="s">
        <v>851</v>
      </c>
      <c r="C42" s="1084">
        <f t="shared" si="1"/>
        <v>0.56953980375426616</v>
      </c>
      <c r="D42" s="1084">
        <f t="shared" si="2"/>
        <v>0.33112779288038729</v>
      </c>
      <c r="E42" s="1084">
        <f t="shared" si="3"/>
        <v>21.099804066577125</v>
      </c>
      <c r="F42" s="1084">
        <f t="shared" si="2"/>
        <v>12.267327945684375</v>
      </c>
      <c r="G42" s="1084">
        <f t="shared" si="4"/>
        <v>3.8251275948348278</v>
      </c>
      <c r="H42" s="1084">
        <f t="shared" si="5"/>
        <v>2.2239113923458302</v>
      </c>
      <c r="I42" s="1084">
        <f t="shared" si="6"/>
        <v>0.17924000000000001</v>
      </c>
      <c r="J42" s="1084">
        <f t="shared" si="7"/>
        <v>0.1042093023255814</v>
      </c>
      <c r="K42" s="1084">
        <f t="shared" si="8"/>
        <v>2.1161699999999999</v>
      </c>
      <c r="L42" s="1084">
        <f t="shared" si="9"/>
        <v>1.2303313953488373</v>
      </c>
      <c r="M42" s="1084">
        <f t="shared" si="10"/>
        <v>13.161479035200493</v>
      </c>
      <c r="N42" s="1084">
        <f t="shared" si="11"/>
        <v>7.6520226948840078</v>
      </c>
      <c r="O42" s="1084">
        <f t="shared" si="12"/>
        <v>898.04907665057419</v>
      </c>
      <c r="P42" s="1084">
        <f t="shared" si="13"/>
        <v>522.12155619219436</v>
      </c>
      <c r="R42" s="62" t="s">
        <v>851</v>
      </c>
      <c r="S42" s="39">
        <f>VLOOKUP($R42,'6.3A'!$Q:$R,2,0)</f>
        <v>1720</v>
      </c>
      <c r="T42" s="4">
        <f t="shared" si="0"/>
        <v>1720000</v>
      </c>
      <c r="V42" s="39" t="s">
        <v>851</v>
      </c>
      <c r="W42" s="158">
        <f>VLOOKUP($V42,'6.3A'!$U:$AH,2,0)</f>
        <v>898.04907665057419</v>
      </c>
      <c r="X42" s="158">
        <f>VLOOKUP($V42,'6.3A'!$U:$AH,3,0)</f>
        <v>50.377147417999971</v>
      </c>
      <c r="Y42" s="158">
        <f>VLOOKUP($V42,'6.3A'!$U:$AH,4,0)</f>
        <v>0</v>
      </c>
      <c r="Z42" s="158">
        <f>VLOOKUP($V42,'6.3A'!$U:$AH,5,0)</f>
        <v>207.7859884479094</v>
      </c>
      <c r="AA42" s="158">
        <f>VLOOKUP($V42,'6.3A'!$U:$AH,6,0)</f>
        <v>0</v>
      </c>
      <c r="AB42" s="158">
        <f>VLOOKUP($V42,'6.3A'!$U:$AH,7,0)</f>
        <v>598.93458028429802</v>
      </c>
      <c r="AC42" s="158">
        <f>VLOOKUP($V42,'6.3A'!$U:$AH,8,0)</f>
        <v>0.56953980375426616</v>
      </c>
      <c r="AD42" s="158">
        <f>VLOOKUP($V42,'6.3A'!$U:$AH,9,0)</f>
        <v>0</v>
      </c>
      <c r="AE42" s="158">
        <f>VLOOKUP($V42,'6.3A'!$U:$AH,10,0)</f>
        <v>21.099804066577125</v>
      </c>
      <c r="AF42" s="158">
        <f>VLOOKUP($V42,'6.3A'!$U:$AH,11,0)</f>
        <v>3.8251275948348278</v>
      </c>
      <c r="AG42" s="158">
        <f>VLOOKUP($V42,'6.3A'!$U:$AH,12,0)</f>
        <v>0.17924000000000001</v>
      </c>
      <c r="AH42" s="158">
        <f>VLOOKUP($V42,'6.3A'!$U:$AH,13,0)</f>
        <v>2.1161699999999999</v>
      </c>
      <c r="AI42" s="158">
        <f>VLOOKUP($V42,'6.3A'!$U:$AH,14,0)</f>
        <v>13.161479035200493</v>
      </c>
    </row>
    <row r="43" spans="2:35" ht="21.75" customHeight="1" x14ac:dyDescent="0.3">
      <c r="B43" s="157" t="s">
        <v>224</v>
      </c>
      <c r="C43" s="1084">
        <f t="shared" si="1"/>
        <v>33.619458856655278</v>
      </c>
      <c r="D43" s="1084">
        <f t="shared" si="2"/>
        <v>0.43482622006357302</v>
      </c>
      <c r="E43" s="1084">
        <f t="shared" si="3"/>
        <v>424.14907963251648</v>
      </c>
      <c r="F43" s="1084">
        <f t="shared" si="2"/>
        <v>5.4858450228606452</v>
      </c>
      <c r="G43" s="1084">
        <f t="shared" si="4"/>
        <v>216.31991351991903</v>
      </c>
      <c r="H43" s="1084">
        <f t="shared" si="5"/>
        <v>2.7978311822745199</v>
      </c>
      <c r="I43" s="1084">
        <f t="shared" si="6"/>
        <v>738.65824599999883</v>
      </c>
      <c r="J43" s="1084">
        <f t="shared" si="7"/>
        <v>9.5536330431858314</v>
      </c>
      <c r="K43" s="1084">
        <f t="shared" si="8"/>
        <v>923.3461029999994</v>
      </c>
      <c r="L43" s="1084">
        <f t="shared" si="9"/>
        <v>11.942342602532424</v>
      </c>
      <c r="M43" s="1084">
        <f t="shared" si="10"/>
        <v>576.55410568867342</v>
      </c>
      <c r="N43" s="1084">
        <f t="shared" si="11"/>
        <v>7.4570159950421449</v>
      </c>
      <c r="O43" s="1084">
        <f t="shared" si="12"/>
        <v>16848.070642772993</v>
      </c>
      <c r="P43" s="1084">
        <f t="shared" si="13"/>
        <v>217.90900633460936</v>
      </c>
      <c r="R43" s="62" t="s">
        <v>224</v>
      </c>
      <c r="S43" s="39">
        <f>VLOOKUP($R43,'6.3A'!$Q:$R,2,0)</f>
        <v>77317</v>
      </c>
      <c r="T43" s="4">
        <f t="shared" si="0"/>
        <v>77317000</v>
      </c>
      <c r="V43" s="39" t="s">
        <v>224</v>
      </c>
      <c r="W43" s="158">
        <f>VLOOKUP($V43,'6.3A'!$U:$AH,2,0)</f>
        <v>16848.070642772993</v>
      </c>
      <c r="X43" s="158">
        <f>VLOOKUP($V43,'6.3A'!$U:$AH,3,0)</f>
        <v>2662.3963797950432</v>
      </c>
      <c r="Y43" s="158">
        <f>VLOOKUP($V43,'6.3A'!$U:$AH,4,0)</f>
        <v>25.15907</v>
      </c>
      <c r="Z43" s="158">
        <f>VLOOKUP($V43,'6.3A'!$U:$AH,5,0)</f>
        <v>3795.2236805510047</v>
      </c>
      <c r="AA43" s="158">
        <f>VLOOKUP($V43,'6.3A'!$U:$AH,6,0)</f>
        <v>73.179114684824825</v>
      </c>
      <c r="AB43" s="158">
        <f>VLOOKUP($V43,'6.3A'!$U:$AH,7,0)</f>
        <v>6777.9683664141403</v>
      </c>
      <c r="AC43" s="158">
        <f>VLOOKUP($V43,'6.3A'!$U:$AH,8,0)</f>
        <v>33.619458856655278</v>
      </c>
      <c r="AD43" s="158">
        <f>VLOOKUP($V43,'6.3A'!$U:$AH,9,0)</f>
        <v>601.4971246302141</v>
      </c>
      <c r="AE43" s="158">
        <f>VLOOKUP($V43,'6.3A'!$U:$AH,10,0)</f>
        <v>424.14907963251648</v>
      </c>
      <c r="AF43" s="158">
        <f>VLOOKUP($V43,'6.3A'!$U:$AH,11,0)</f>
        <v>216.31991351991903</v>
      </c>
      <c r="AG43" s="158">
        <f>VLOOKUP($V43,'6.3A'!$U:$AH,12,0)</f>
        <v>738.65824599999883</v>
      </c>
      <c r="AH43" s="158">
        <f>VLOOKUP($V43,'6.3A'!$U:$AH,13,0)</f>
        <v>923.3461029999994</v>
      </c>
      <c r="AI43" s="158">
        <f>VLOOKUP($V43,'6.3A'!$U:$AH,14,0)</f>
        <v>576.55410568867342</v>
      </c>
    </row>
    <row r="44" spans="2:35" ht="21.75" customHeight="1" x14ac:dyDescent="0.3">
      <c r="B44" s="157" t="s">
        <v>691</v>
      </c>
      <c r="C44" s="1084">
        <f>AC44</f>
        <v>31.813647320819122</v>
      </c>
      <c r="D44" s="1084">
        <f t="shared" si="2"/>
        <v>0.82731698447025337</v>
      </c>
      <c r="E44" s="1084">
        <f>AE44</f>
        <v>133.90965212970073</v>
      </c>
      <c r="F44" s="1084">
        <f t="shared" si="2"/>
        <v>3.482333492736795</v>
      </c>
      <c r="G44" s="1084">
        <f>AF44</f>
        <v>45.565577273669696</v>
      </c>
      <c r="H44" s="1084">
        <f t="shared" si="5"/>
        <v>1.1849372568177483</v>
      </c>
      <c r="I44" s="1084">
        <f>AG44</f>
        <v>119.13587399999997</v>
      </c>
      <c r="J44" s="1084">
        <f t="shared" si="7"/>
        <v>3.0981399594320478</v>
      </c>
      <c r="K44" s="1084">
        <f>AG44</f>
        <v>119.13587399999997</v>
      </c>
      <c r="L44" s="1084">
        <f t="shared" si="9"/>
        <v>3.0981399594320478</v>
      </c>
      <c r="M44" s="1084">
        <f>AI44</f>
        <v>58.173567536234486</v>
      </c>
      <c r="N44" s="1084">
        <f t="shared" si="11"/>
        <v>1.5128092665583419</v>
      </c>
      <c r="O44" s="1084">
        <f>W44</f>
        <v>7773.8387108066108</v>
      </c>
      <c r="P44" s="1084">
        <f t="shared" si="13"/>
        <v>202.15942972919882</v>
      </c>
      <c r="R44" s="62" t="s">
        <v>691</v>
      </c>
      <c r="S44" s="39">
        <f>VLOOKUP($R44,'6.3A'!$Q:$R,2,0)</f>
        <v>38454</v>
      </c>
      <c r="T44" s="4">
        <f t="shared" si="0"/>
        <v>38454000</v>
      </c>
      <c r="V44" s="39" t="s">
        <v>691</v>
      </c>
      <c r="W44" s="158">
        <f>VLOOKUP($V44,'6.3A'!$U:$AH,2,0)</f>
        <v>7773.8387108066108</v>
      </c>
      <c r="X44" s="158">
        <f>VLOOKUP($V44,'6.3A'!$U:$AH,3,0)</f>
        <v>1242.8191922669985</v>
      </c>
      <c r="Y44" s="158">
        <f>VLOOKUP($V44,'6.3A'!$U:$AH,4,0)</f>
        <v>0.40436000000000005</v>
      </c>
      <c r="Z44" s="158">
        <f>VLOOKUP($V44,'6.3A'!$U:$AH,5,0)</f>
        <v>1901.393239953145</v>
      </c>
      <c r="AA44" s="158">
        <f>VLOOKUP($V44,'6.3A'!$U:$AH,6,0)</f>
        <v>0.19922178988326847</v>
      </c>
      <c r="AB44" s="158">
        <f>VLOOKUP($V44,'6.3A'!$U:$AH,7,0)</f>
        <v>3740.6981258735304</v>
      </c>
      <c r="AC44" s="158">
        <f>VLOOKUP($V44,'6.3A'!$U:$AH,8,0)</f>
        <v>31.813647320819122</v>
      </c>
      <c r="AD44" s="158">
        <f>VLOOKUP($V44,'6.3A'!$U:$AH,9,0)</f>
        <v>435.85241966263027</v>
      </c>
      <c r="AE44" s="158">
        <f>VLOOKUP($V44,'6.3A'!$U:$AH,10,0)</f>
        <v>133.90965212970073</v>
      </c>
      <c r="AF44" s="158">
        <f>VLOOKUP($V44,'6.3A'!$U:$AH,11,0)</f>
        <v>45.565577273669696</v>
      </c>
      <c r="AG44" s="158">
        <f>VLOOKUP($V44,'6.3A'!$U:$AH,12,0)</f>
        <v>119.13587399999997</v>
      </c>
      <c r="AH44" s="158">
        <f>VLOOKUP($V44,'6.3A'!$U:$AH,13,0)</f>
        <v>63.87383300000004</v>
      </c>
      <c r="AI44" s="158">
        <f>VLOOKUP($V44,'6.3A'!$U:$AH,14,0)</f>
        <v>58.173567536234486</v>
      </c>
    </row>
    <row r="45" spans="2:35" ht="21.75" customHeight="1" x14ac:dyDescent="0.3">
      <c r="B45" s="1086" t="s">
        <v>1501</v>
      </c>
      <c r="C45" s="1087">
        <f>SUM(C38:C44)</f>
        <v>140.53100767918085</v>
      </c>
      <c r="D45" s="1087">
        <f t="shared" si="2"/>
        <v>0.50975209996619641</v>
      </c>
      <c r="E45" s="1087">
        <f t="shared" ref="E45:O45" si="18">SUM(E38:E44)</f>
        <v>1941.3095365794575</v>
      </c>
      <c r="F45" s="1087">
        <f t="shared" si="2"/>
        <v>7.0417670042964167</v>
      </c>
      <c r="G45" s="1087">
        <f t="shared" si="18"/>
        <v>427.8962196252711</v>
      </c>
      <c r="H45" s="1087">
        <f t="shared" si="5"/>
        <v>1.5521200632071788</v>
      </c>
      <c r="I45" s="1087">
        <f t="shared" si="18"/>
        <v>1504.9456000000002</v>
      </c>
      <c r="J45" s="1087">
        <f t="shared" si="7"/>
        <v>5.4589317518181995</v>
      </c>
      <c r="K45" s="1087">
        <f t="shared" si="18"/>
        <v>2459.2259849999996</v>
      </c>
      <c r="L45" s="1087">
        <f t="shared" si="9"/>
        <v>8.9204199902062111</v>
      </c>
      <c r="M45" s="1087">
        <f t="shared" si="18"/>
        <v>1355.9951875012196</v>
      </c>
      <c r="N45" s="1087">
        <f t="shared" si="11"/>
        <v>4.9186397065535647</v>
      </c>
      <c r="O45" s="1087">
        <f t="shared" si="18"/>
        <v>57962.167224549252</v>
      </c>
      <c r="P45" s="1087">
        <f t="shared" si="13"/>
        <v>210.24780900139379</v>
      </c>
      <c r="R45" s="160" t="s">
        <v>1501</v>
      </c>
      <c r="S45" s="143">
        <f>VLOOKUP($R45,'6.3A'!$Q:$R,2,0)</f>
        <v>275685</v>
      </c>
      <c r="T45" s="4">
        <f t="shared" si="0"/>
        <v>275685000</v>
      </c>
      <c r="W45" s="116">
        <f t="shared" ref="W45:AI45" si="19">SUM(W5:W44)</f>
        <v>223480.31114676502</v>
      </c>
      <c r="X45" s="116">
        <f t="shared" si="19"/>
        <v>32952.707723162006</v>
      </c>
      <c r="Y45" s="116">
        <f t="shared" si="19"/>
        <v>11306.667027999998</v>
      </c>
      <c r="Z45" s="116">
        <f t="shared" si="19"/>
        <v>42586.161889506904</v>
      </c>
      <c r="AA45" s="116">
        <f t="shared" si="19"/>
        <v>459.6432424124518</v>
      </c>
      <c r="AB45" s="116">
        <f t="shared" si="19"/>
        <v>94669.384548632937</v>
      </c>
      <c r="AC45" s="116">
        <f t="shared" si="19"/>
        <v>1009.330920614335</v>
      </c>
      <c r="AD45" s="116">
        <f t="shared" si="19"/>
        <v>9158.8721187124411</v>
      </c>
      <c r="AE45" s="116">
        <f t="shared" si="19"/>
        <v>6109.5797225208726</v>
      </c>
      <c r="AF45" s="116">
        <f t="shared" si="19"/>
        <v>1928.4643348130626</v>
      </c>
      <c r="AG45" s="116">
        <f t="shared" si="19"/>
        <v>6087.1899270000013</v>
      </c>
      <c r="AH45" s="116">
        <f t="shared" si="19"/>
        <v>8387.3767289999996</v>
      </c>
      <c r="AI45" s="116">
        <f t="shared" si="19"/>
        <v>8824.9329623899939</v>
      </c>
    </row>
    <row r="46" spans="2:35" ht="21.75" customHeight="1" x14ac:dyDescent="0.3">
      <c r="B46" s="19" t="s">
        <v>2427</v>
      </c>
      <c r="C46" s="2366">
        <v>0</v>
      </c>
      <c r="D46" s="2366"/>
      <c r="E46" s="2366">
        <v>267.29244299999999</v>
      </c>
      <c r="F46" s="2366"/>
      <c r="G46" s="2366">
        <v>3033.019804</v>
      </c>
      <c r="H46" s="2366"/>
      <c r="I46" s="2366">
        <v>2610.1098529999999</v>
      </c>
      <c r="J46" s="2366"/>
      <c r="K46" s="2366">
        <v>10013.412649</v>
      </c>
      <c r="L46" s="2366"/>
      <c r="M46" s="2366">
        <v>1531.7490759999998</v>
      </c>
      <c r="N46" s="2366"/>
      <c r="O46" s="2366">
        <v>18132.200005333332</v>
      </c>
      <c r="P46" s="1084"/>
      <c r="R46" s="160"/>
      <c r="S46" s="143"/>
      <c r="W46" s="116"/>
      <c r="X46" s="116"/>
      <c r="Y46" s="116"/>
      <c r="Z46" s="116"/>
      <c r="AA46" s="116"/>
      <c r="AB46" s="116"/>
      <c r="AC46" s="116"/>
      <c r="AD46" s="116"/>
      <c r="AE46" s="116"/>
      <c r="AF46" s="116"/>
      <c r="AG46" s="116"/>
      <c r="AH46" s="116"/>
      <c r="AI46" s="116"/>
    </row>
    <row r="47" spans="2:35" ht="21.75" customHeight="1" x14ac:dyDescent="0.3">
      <c r="B47" s="2253" t="s">
        <v>1512</v>
      </c>
      <c r="C47" s="2368">
        <f>C45+C37+C30+C21+C15+C46</f>
        <v>1009.330920614335</v>
      </c>
      <c r="D47" s="2368">
        <f t="shared" si="2"/>
        <v>0.71525366216254316</v>
      </c>
      <c r="E47" s="2368">
        <f>E45+E37+E30+E21+E15+E46</f>
        <v>6376.8721655208728</v>
      </c>
      <c r="F47" s="2368">
        <f t="shared" si="2"/>
        <v>4.5189155274813775</v>
      </c>
      <c r="G47" s="2368">
        <f>G45+G37+G30+G21+G15+G46</f>
        <v>4961.4841388130626</v>
      </c>
      <c r="H47" s="2368">
        <f t="shared" si="5"/>
        <v>3.5159129950041228</v>
      </c>
      <c r="I47" s="2368">
        <f>I45+I37+I30+I21+I15+I46</f>
        <v>8697.2997799999994</v>
      </c>
      <c r="J47" s="2368">
        <f t="shared" si="7"/>
        <v>6.1632665675041158</v>
      </c>
      <c r="K47" s="2368">
        <f>K45+K37+K30+K21+K15+K46</f>
        <v>18456.051418999999</v>
      </c>
      <c r="L47" s="2368">
        <f t="shared" si="9"/>
        <v>13.078721851169719</v>
      </c>
      <c r="M47" s="2368">
        <f>M45+M37+M30+M21+M15+M46</f>
        <v>10356.682038389994</v>
      </c>
      <c r="N47" s="2368">
        <f t="shared" si="11"/>
        <v>7.3391735104110003</v>
      </c>
      <c r="O47" s="2368">
        <f>O45+O37+O30+O21+O15+O46</f>
        <v>241612.5111520983</v>
      </c>
      <c r="P47" s="1087">
        <f t="shared" si="13"/>
        <v>171.2166246929622</v>
      </c>
      <c r="R47" s="63" t="s">
        <v>1029</v>
      </c>
      <c r="S47" s="162">
        <f>+S45+S37+S30+S21+S15</f>
        <v>1411151</v>
      </c>
      <c r="T47" s="4">
        <f t="shared" si="0"/>
        <v>1411151000</v>
      </c>
      <c r="V47" s="4" t="s">
        <v>2427</v>
      </c>
      <c r="W47" s="158">
        <f>VLOOKUP($V47,'6.3A'!$U:$AH,2,0)</f>
        <v>18132.200005333332</v>
      </c>
      <c r="X47" s="158">
        <f>VLOOKUP($V47,'6.3A'!$U:$AH,3,0)</f>
        <v>216.80122400000002</v>
      </c>
      <c r="Y47" s="158">
        <f>VLOOKUP($V47,'6.3A'!$U:$AH,4,0)</f>
        <v>419.08981800000004</v>
      </c>
      <c r="Z47" s="158">
        <f>VLOOKUP($V47,'6.3A'!$U:$AH,5,0)</f>
        <v>1.878433333338058E-2</v>
      </c>
      <c r="AA47" s="158">
        <f>VLOOKUP($V47,'6.3A'!$U:$AH,6,0)</f>
        <v>0</v>
      </c>
      <c r="AB47" s="158">
        <f>VLOOKUP($V47,'6.3A'!$U:$AH,7,0)</f>
        <v>38.179949999999998</v>
      </c>
      <c r="AC47" s="158">
        <f>VLOOKUP($V47,'6.3A'!$U:$AH,8,0)</f>
        <v>0</v>
      </c>
      <c r="AD47" s="158">
        <f>VLOOKUP($V47,'6.3A'!$U:$AH,9,0)</f>
        <v>2.5264039999999999</v>
      </c>
      <c r="AE47" s="158">
        <f>VLOOKUP($V47,'6.3A'!$U:$AH,10,0)</f>
        <v>267.29244299999999</v>
      </c>
      <c r="AF47" s="158">
        <f>VLOOKUP($V47,'6.3A'!$U:$AH,11,0)</f>
        <v>3033.019804</v>
      </c>
      <c r="AG47" s="158">
        <f>VLOOKUP($V47,'6.3A'!$U:$AH,12,0)</f>
        <v>2610.1098529999999</v>
      </c>
      <c r="AH47" s="158">
        <f>VLOOKUP($V47,'6.3A'!$U:$AH,13,0)</f>
        <v>10013.412649</v>
      </c>
      <c r="AI47" s="158">
        <f>VLOOKUP($V47,'6.3A'!$U:$AH,14,0)</f>
        <v>1531.7490759999998</v>
      </c>
    </row>
    <row r="48" spans="2:35" x14ac:dyDescent="0.3">
      <c r="B48" s="3456" t="s">
        <v>1513</v>
      </c>
      <c r="C48" s="3457"/>
      <c r="D48" s="3457"/>
      <c r="E48" s="3457"/>
      <c r="F48" s="3457"/>
      <c r="G48" s="3457"/>
      <c r="H48" s="3457"/>
      <c r="I48" s="3457"/>
      <c r="J48" s="3457"/>
      <c r="K48" s="3457"/>
      <c r="L48" s="3457"/>
      <c r="M48" s="3457"/>
      <c r="N48" s="3457"/>
      <c r="O48" s="1047"/>
      <c r="P48" s="1052"/>
      <c r="W48" s="50">
        <f t="shared" ref="W48:AI48" si="20">+W45+W47</f>
        <v>241612.51115209836</v>
      </c>
      <c r="X48" s="50">
        <f t="shared" si="20"/>
        <v>33169.508947162009</v>
      </c>
      <c r="Y48" s="50">
        <f t="shared" si="20"/>
        <v>11725.756845999998</v>
      </c>
      <c r="Z48" s="50">
        <f t="shared" si="20"/>
        <v>42586.180673840237</v>
      </c>
      <c r="AA48" s="50">
        <f t="shared" si="20"/>
        <v>459.6432424124518</v>
      </c>
      <c r="AB48" s="50">
        <f t="shared" si="20"/>
        <v>94707.564498632943</v>
      </c>
      <c r="AC48" s="50">
        <f t="shared" si="20"/>
        <v>1009.330920614335</v>
      </c>
      <c r="AD48" s="50">
        <f t="shared" si="20"/>
        <v>9161.3985227124413</v>
      </c>
      <c r="AE48" s="50">
        <f t="shared" si="20"/>
        <v>6376.8721655208728</v>
      </c>
      <c r="AF48" s="50">
        <f t="shared" si="20"/>
        <v>4961.4841388130626</v>
      </c>
      <c r="AG48" s="50">
        <f t="shared" si="20"/>
        <v>8697.2997800000012</v>
      </c>
      <c r="AH48" s="50">
        <f t="shared" si="20"/>
        <v>18400.789378000001</v>
      </c>
      <c r="AI48" s="50">
        <f t="shared" si="20"/>
        <v>10356.682038389994</v>
      </c>
    </row>
    <row r="49" spans="2:35" x14ac:dyDescent="0.3">
      <c r="B49" s="3456" t="s">
        <v>1514</v>
      </c>
      <c r="C49" s="3457"/>
      <c r="D49" s="3457"/>
      <c r="E49" s="3457"/>
      <c r="F49" s="3457"/>
      <c r="G49" s="3457"/>
      <c r="H49" s="3457"/>
      <c r="I49" s="3457"/>
      <c r="J49" s="3457"/>
      <c r="K49" s="3457"/>
      <c r="L49" s="3457"/>
      <c r="M49" s="3457"/>
      <c r="N49" s="3457"/>
      <c r="O49" s="90"/>
      <c r="P49" s="1053"/>
      <c r="V49" s="4" t="s">
        <v>1504</v>
      </c>
    </row>
    <row r="50" spans="2:35" x14ac:dyDescent="0.3">
      <c r="B50" s="1254" t="s">
        <v>1515</v>
      </c>
      <c r="C50" s="1258"/>
      <c r="D50" s="1300" t="s">
        <v>1505</v>
      </c>
      <c r="E50" s="1301" t="s">
        <v>1506</v>
      </c>
      <c r="F50" s="1259"/>
      <c r="G50" s="1260"/>
      <c r="H50" s="1260"/>
      <c r="I50" s="1260"/>
      <c r="J50" s="1260"/>
      <c r="K50" s="1260"/>
      <c r="L50" s="1260"/>
      <c r="M50" s="1260"/>
      <c r="N50" s="1260"/>
      <c r="O50" s="90"/>
      <c r="P50" s="1053"/>
      <c r="W50" s="116">
        <f>+W48-W49</f>
        <v>241612.51115209836</v>
      </c>
    </row>
    <row r="51" spans="2:35" x14ac:dyDescent="0.3">
      <c r="B51" s="1255" t="s">
        <v>2482</v>
      </c>
      <c r="C51" s="1260"/>
      <c r="D51" s="1261"/>
      <c r="E51" s="1261"/>
      <c r="F51" s="1261"/>
      <c r="G51" s="1260"/>
      <c r="H51" s="1260"/>
      <c r="I51" s="1260"/>
      <c r="J51" s="1260"/>
      <c r="K51" s="1260"/>
      <c r="L51" s="1260"/>
      <c r="M51" s="1260"/>
      <c r="N51" s="1260"/>
      <c r="O51" s="90"/>
      <c r="P51" s="1053"/>
      <c r="V51" s="4" t="s">
        <v>1516</v>
      </c>
      <c r="W51" s="50"/>
      <c r="X51" s="116"/>
      <c r="Y51" s="116"/>
      <c r="Z51" s="116"/>
      <c r="AA51" s="116"/>
      <c r="AB51" s="116"/>
      <c r="AC51" s="116"/>
      <c r="AD51" s="116"/>
      <c r="AE51" s="116"/>
      <c r="AF51" s="116"/>
      <c r="AG51" s="116"/>
      <c r="AH51" s="116"/>
      <c r="AI51" s="116"/>
    </row>
    <row r="52" spans="2:35" x14ac:dyDescent="0.3">
      <c r="B52" s="1256" t="s">
        <v>945</v>
      </c>
      <c r="C52" s="1259"/>
      <c r="D52" s="1259"/>
      <c r="E52" s="1259"/>
      <c r="F52" s="1259"/>
      <c r="G52" s="1259"/>
      <c r="H52" s="1259"/>
      <c r="I52" s="1259"/>
      <c r="J52" s="1259"/>
      <c r="K52" s="1259"/>
      <c r="L52" s="1259"/>
      <c r="M52" s="1259"/>
      <c r="N52" s="1259"/>
      <c r="O52" s="90"/>
      <c r="P52" s="1053"/>
      <c r="V52" s="4" t="s">
        <v>1517</v>
      </c>
      <c r="W52" s="50">
        <f t="shared" ref="W52:AI52" si="21">+W48-W51</f>
        <v>241612.51115209836</v>
      </c>
      <c r="X52" s="50">
        <f t="shared" si="21"/>
        <v>33169.508947162009</v>
      </c>
      <c r="Y52" s="50">
        <f t="shared" si="21"/>
        <v>11725.756845999998</v>
      </c>
      <c r="Z52" s="50">
        <f t="shared" si="21"/>
        <v>42586.180673840237</v>
      </c>
      <c r="AA52" s="50">
        <f t="shared" si="21"/>
        <v>459.6432424124518</v>
      </c>
      <c r="AB52" s="50">
        <f t="shared" si="21"/>
        <v>94707.564498632943</v>
      </c>
      <c r="AC52" s="50">
        <f t="shared" si="21"/>
        <v>1009.330920614335</v>
      </c>
      <c r="AD52" s="50">
        <f t="shared" si="21"/>
        <v>9161.3985227124413</v>
      </c>
      <c r="AE52" s="50">
        <f t="shared" si="21"/>
        <v>6376.8721655208728</v>
      </c>
      <c r="AF52" s="50">
        <f t="shared" si="21"/>
        <v>4961.4841388130626</v>
      </c>
      <c r="AG52" s="50">
        <f t="shared" si="21"/>
        <v>8697.2997800000012</v>
      </c>
      <c r="AH52" s="50">
        <f t="shared" si="21"/>
        <v>18400.789378000001</v>
      </c>
      <c r="AI52" s="50">
        <f t="shared" si="21"/>
        <v>10356.682038389994</v>
      </c>
    </row>
    <row r="53" spans="2:35" x14ac:dyDescent="0.3">
      <c r="B53" s="3458" t="s">
        <v>3013</v>
      </c>
      <c r="C53" s="3459"/>
      <c r="D53" s="3459"/>
      <c r="E53" s="3459"/>
      <c r="F53" s="3459"/>
      <c r="G53" s="3459"/>
      <c r="H53" s="3459"/>
      <c r="I53" s="2371"/>
      <c r="J53" s="1260"/>
      <c r="K53" s="1260"/>
      <c r="L53" s="1260"/>
      <c r="M53" s="1260"/>
      <c r="N53" s="1260"/>
      <c r="O53" s="90"/>
      <c r="P53" s="1053"/>
      <c r="W53" s="116"/>
    </row>
    <row r="54" spans="2:35" x14ac:dyDescent="0.3">
      <c r="B54" s="3460" t="s">
        <v>1507</v>
      </c>
      <c r="C54" s="3461"/>
      <c r="D54" s="3461"/>
      <c r="E54" s="3461"/>
      <c r="F54" s="3461"/>
      <c r="G54" s="3461"/>
      <c r="H54" s="3461"/>
      <c r="I54" s="3461"/>
      <c r="J54" s="1260"/>
      <c r="K54" s="1260"/>
      <c r="L54" s="1260"/>
      <c r="M54" s="1260"/>
      <c r="N54" s="1260"/>
      <c r="O54" s="90"/>
      <c r="P54" s="1053"/>
    </row>
    <row r="55" spans="2:35" ht="17.25" thickBot="1" x14ac:dyDescent="0.35">
      <c r="B55" s="3462" t="s">
        <v>1508</v>
      </c>
      <c r="C55" s="3463"/>
      <c r="D55" s="3463"/>
      <c r="E55" s="3463"/>
      <c r="F55" s="3463"/>
      <c r="G55" s="3463"/>
      <c r="H55" s="3463"/>
      <c r="I55" s="3463"/>
      <c r="J55" s="1262"/>
      <c r="K55" s="1262"/>
      <c r="L55" s="1262"/>
      <c r="M55" s="1262"/>
      <c r="N55" s="1262"/>
      <c r="O55" s="1054"/>
      <c r="P55" s="1055"/>
    </row>
    <row r="58" spans="2:35" x14ac:dyDescent="0.3">
      <c r="B58" s="4" t="s">
        <v>1509</v>
      </c>
      <c r="D58" s="164">
        <f>+MAX(D5:D47)</f>
        <v>7.6506670375049541</v>
      </c>
      <c r="E58" s="164"/>
      <c r="F58" s="164">
        <f>+MAX(F5:F47)</f>
        <v>43.146059885551537</v>
      </c>
      <c r="H58" s="164">
        <f>+MAX(H5:H47)</f>
        <v>130.11987926519711</v>
      </c>
      <c r="J58" s="164">
        <f>+MAX(J5:J47)</f>
        <v>88.591197368421035</v>
      </c>
      <c r="L58" s="164">
        <f>+MAX(L5:L47)</f>
        <v>55.921492972686295</v>
      </c>
      <c r="M58" s="165"/>
      <c r="N58" s="164">
        <f>+MAX(N5:N47)</f>
        <v>64.148680677310097</v>
      </c>
      <c r="P58" s="164">
        <f>+MAX(P5:P47)</f>
        <v>710.41839619050893</v>
      </c>
    </row>
    <row r="59" spans="2:35" x14ac:dyDescent="0.3">
      <c r="B59" s="4" t="s">
        <v>1510</v>
      </c>
      <c r="D59" s="164">
        <f>+MIN(D5:D47)</f>
        <v>0</v>
      </c>
      <c r="E59" s="164"/>
      <c r="F59" s="164">
        <f>+MIN(F5:F47)</f>
        <v>0</v>
      </c>
      <c r="H59" s="164">
        <f>+MIN(H5:H47)</f>
        <v>0.12460670225927427</v>
      </c>
      <c r="J59" s="164">
        <f>+MIN(J5:J47)</f>
        <v>8.6914755128607961E-3</v>
      </c>
      <c r="L59" s="164">
        <f>+MIN(L5:L47)</f>
        <v>0</v>
      </c>
      <c r="N59" s="164">
        <f>+MIN(N5:N47)</f>
        <v>0</v>
      </c>
      <c r="P59" s="164">
        <f>+MIN(P5:P47)</f>
        <v>49.09298194779533</v>
      </c>
    </row>
    <row r="65" ht="1.5" customHeight="1" x14ac:dyDescent="0.3"/>
  </sheetData>
  <mergeCells count="14">
    <mergeCell ref="B48:N48"/>
    <mergeCell ref="B49:N49"/>
    <mergeCell ref="B53:H53"/>
    <mergeCell ref="B54:I54"/>
    <mergeCell ref="B55:I55"/>
    <mergeCell ref="B1:P1"/>
    <mergeCell ref="B2:P2"/>
    <mergeCell ref="C3:D3"/>
    <mergeCell ref="E3:F3"/>
    <mergeCell ref="G3:H3"/>
    <mergeCell ref="I3:J3"/>
    <mergeCell ref="K3:L3"/>
    <mergeCell ref="M3:N3"/>
    <mergeCell ref="O3:P3"/>
  </mergeCells>
  <conditionalFormatting sqref="D5:D14 D16:D20 D31:D36 D38:D44 D22:D29">
    <cfRule type="top10" dxfId="0" priority="1" rank="1"/>
  </conditionalFormatting>
  <pageMargins left="0.70866141732283472" right="0.70866141732283472" top="0.74803149606299213" bottom="0.74803149606299213" header="0.31496062992125984" footer="0.31496062992125984"/>
  <pageSetup paperSize="9" scale="41" orientation="portrait" horizontalDpi="300" verticalDpi="300"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070F43-28FE-4045-B296-36F7A3CD826B}">
  <sheetPr>
    <tabColor theme="0"/>
    <pageSetUpPr fitToPage="1"/>
  </sheetPr>
  <dimension ref="A1:J65"/>
  <sheetViews>
    <sheetView view="pageLayout" topLeftCell="A36" zoomScale="80" zoomScaleNormal="100" zoomScalePageLayoutView="80" workbookViewId="0">
      <selection activeCell="B81" sqref="B81"/>
    </sheetView>
  </sheetViews>
  <sheetFormatPr defaultColWidth="0" defaultRowHeight="15" x14ac:dyDescent="0.25"/>
  <cols>
    <col min="1" max="1" width="41.42578125" style="166" customWidth="1"/>
    <col min="2" max="2" width="12" style="166" hidden="1" customWidth="1"/>
    <col min="3" max="3" width="14.140625" style="166" hidden="1" customWidth="1"/>
    <col min="4" max="4" width="11.7109375" style="166" hidden="1" customWidth="1"/>
    <col min="5" max="5" width="14.7109375" style="166" customWidth="1"/>
    <col min="6" max="6" width="14.5703125" style="166" customWidth="1"/>
    <col min="7" max="8" width="14.7109375" style="166" customWidth="1"/>
    <col min="9" max="9" width="15.42578125" style="166" customWidth="1"/>
    <col min="10" max="10" width="14.7109375" style="166" customWidth="1"/>
    <col min="11" max="11" width="7" style="166" customWidth="1"/>
    <col min="12" max="16384" width="0" style="166" hidden="1"/>
  </cols>
  <sheetData>
    <row r="1" spans="1:10" ht="29.25" customHeight="1" x14ac:dyDescent="0.25">
      <c r="A1" s="3466" t="s">
        <v>2564</v>
      </c>
      <c r="B1" s="3467"/>
      <c r="C1" s="3467"/>
      <c r="D1" s="3467"/>
      <c r="E1" s="3467"/>
      <c r="F1" s="3467"/>
      <c r="G1" s="3467"/>
      <c r="H1" s="3467"/>
      <c r="I1" s="3468"/>
      <c r="J1" s="1056"/>
    </row>
    <row r="2" spans="1:10" ht="18.75" customHeight="1" x14ac:dyDescent="0.25">
      <c r="A2" s="3469" t="s">
        <v>1476</v>
      </c>
      <c r="B2" s="3470"/>
      <c r="C2" s="3470"/>
      <c r="D2" s="3470"/>
      <c r="E2" s="3470"/>
      <c r="F2" s="3470"/>
      <c r="G2" s="3470"/>
      <c r="H2" s="3470"/>
      <c r="I2" s="3471"/>
      <c r="J2" s="1057"/>
    </row>
    <row r="3" spans="1:10" ht="33" customHeight="1" x14ac:dyDescent="0.25">
      <c r="A3" s="1090" t="s">
        <v>1519</v>
      </c>
      <c r="B3" s="1091" t="s">
        <v>7</v>
      </c>
      <c r="C3" s="1091" t="s">
        <v>8</v>
      </c>
      <c r="D3" s="1092" t="s">
        <v>9</v>
      </c>
      <c r="E3" s="1091" t="s">
        <v>77</v>
      </c>
      <c r="F3" s="1091" t="s">
        <v>11</v>
      </c>
      <c r="G3" s="1091" t="s">
        <v>382</v>
      </c>
      <c r="H3" s="541" t="s">
        <v>2309</v>
      </c>
      <c r="I3" s="1093" t="s">
        <v>2479</v>
      </c>
      <c r="J3" s="1058"/>
    </row>
    <row r="4" spans="1:10" ht="15.75" customHeight="1" x14ac:dyDescent="0.25">
      <c r="A4" s="3472" t="s">
        <v>1520</v>
      </c>
      <c r="B4" s="3473"/>
      <c r="C4" s="3473"/>
      <c r="D4" s="3473"/>
      <c r="E4" s="3473"/>
      <c r="F4" s="3473"/>
      <c r="G4" s="3473"/>
      <c r="H4" s="3473"/>
      <c r="I4" s="3474"/>
      <c r="J4" s="156"/>
    </row>
    <row r="5" spans="1:10" ht="16.5" x14ac:dyDescent="0.25">
      <c r="A5" s="1609" t="s">
        <v>1484</v>
      </c>
      <c r="B5" s="1610">
        <v>435.16183999999987</v>
      </c>
      <c r="C5" s="1610">
        <v>435.86547579304784</v>
      </c>
      <c r="D5" s="1610">
        <v>312.04623089409284</v>
      </c>
      <c r="E5" s="1166">
        <v>369.51875716122282</v>
      </c>
      <c r="F5" s="1166">
        <v>414.79709993704847</v>
      </c>
      <c r="G5" s="1166">
        <v>467.92851830602831</v>
      </c>
      <c r="H5" s="1166">
        <v>544.78443654645957</v>
      </c>
      <c r="I5" s="1611">
        <f>VLOOKUP(A5,'6.3A'!$U$5:$V$47,2,0)</f>
        <v>521.55587184709418</v>
      </c>
      <c r="J5" s="870"/>
    </row>
    <row r="6" spans="1:10" ht="16.5" x14ac:dyDescent="0.25">
      <c r="A6" s="1609" t="s">
        <v>1485</v>
      </c>
      <c r="B6" s="1610">
        <v>4890.4855599999955</v>
      </c>
      <c r="C6" s="1610">
        <v>4621.3855371204645</v>
      </c>
      <c r="D6" s="1610">
        <v>2911.2771840411974</v>
      </c>
      <c r="E6" s="1166">
        <v>3405.0241969934618</v>
      </c>
      <c r="F6" s="1166">
        <v>4321.9706681352154</v>
      </c>
      <c r="G6" s="1166">
        <v>4516.0612736702396</v>
      </c>
      <c r="H6" s="1166">
        <v>4964.8926531734614</v>
      </c>
      <c r="I6" s="1611">
        <f>VLOOKUP(A6,'6.3A'!$U$5:$V$47,2,0)</f>
        <v>4957.4505827124312</v>
      </c>
      <c r="J6" s="870"/>
    </row>
    <row r="7" spans="1:10" ht="16.5" x14ac:dyDescent="0.25">
      <c r="A7" s="1609" t="s">
        <v>507</v>
      </c>
      <c r="B7" s="1610">
        <v>10522.668899999984</v>
      </c>
      <c r="C7" s="1610">
        <v>10222.770795667855</v>
      </c>
      <c r="D7" s="1610">
        <v>9852.9988728233093</v>
      </c>
      <c r="E7" s="1166">
        <v>10546.316061744199</v>
      </c>
      <c r="F7" s="1166">
        <v>9453.743515508746</v>
      </c>
      <c r="G7" s="1166">
        <v>10495.7765661504</v>
      </c>
      <c r="H7" s="1166">
        <v>10770.221608336446</v>
      </c>
      <c r="I7" s="1611">
        <f>VLOOKUP(A7,'6.3A'!$U$5:$V$47,2,0)</f>
        <v>10907.545004328322</v>
      </c>
      <c r="J7" s="870"/>
    </row>
    <row r="8" spans="1:10" ht="16.5" x14ac:dyDescent="0.25">
      <c r="A8" s="1609" t="s">
        <v>538</v>
      </c>
      <c r="B8" s="1610">
        <v>1558.8309899999995</v>
      </c>
      <c r="C8" s="1610">
        <v>1693.505046092891</v>
      </c>
      <c r="D8" s="1610">
        <v>1527.8381833780354</v>
      </c>
      <c r="E8" s="1166">
        <v>1924.0688736990251</v>
      </c>
      <c r="F8" s="1166">
        <v>2129.7146905355739</v>
      </c>
      <c r="G8" s="1166">
        <v>2043.3009093147823</v>
      </c>
      <c r="H8" s="1166">
        <v>1940.3212602843519</v>
      </c>
      <c r="I8" s="1611">
        <f>VLOOKUP(A8,'6.3A'!$U$5:$V$47,2,0)</f>
        <v>1903.9706613957555</v>
      </c>
      <c r="J8" s="870"/>
    </row>
    <row r="9" spans="1:10" ht="16.5" x14ac:dyDescent="0.25">
      <c r="A9" s="1609" t="s">
        <v>1521</v>
      </c>
      <c r="B9" s="1610">
        <v>1502.7200499999992</v>
      </c>
      <c r="C9" s="1610">
        <f>1500.02350460626-C10</f>
        <v>1371.698060433454</v>
      </c>
      <c r="D9" s="1610">
        <v>1300.8186715881859</v>
      </c>
      <c r="E9" s="1166">
        <v>1499.9651333527306</v>
      </c>
      <c r="F9" s="1166">
        <v>1667.8746784551663</v>
      </c>
      <c r="G9" s="1166">
        <v>1776.294948323706</v>
      </c>
      <c r="H9" s="1166">
        <v>1789.9211976220295</v>
      </c>
      <c r="I9" s="1611">
        <f>VLOOKUP(A9,'6.3A'!$U$5:$V$47,2,0)</f>
        <v>1786.5202657553375</v>
      </c>
      <c r="J9" s="870"/>
    </row>
    <row r="10" spans="1:10" ht="16.5" x14ac:dyDescent="0.25">
      <c r="A10" s="1609" t="s">
        <v>1488</v>
      </c>
      <c r="B10" s="1610"/>
      <c r="C10" s="1610">
        <v>128.32544417280599</v>
      </c>
      <c r="D10" s="1610">
        <v>140.61458133440019</v>
      </c>
      <c r="E10" s="1166">
        <v>158.88125090520705</v>
      </c>
      <c r="F10" s="1166">
        <v>175.73404530434129</v>
      </c>
      <c r="G10" s="1166">
        <v>206.42711639420571</v>
      </c>
      <c r="H10" s="1166">
        <v>216.03094758498472</v>
      </c>
      <c r="I10" s="1611">
        <f>VLOOKUP(A10,'6.3A'!$U$5:$V$47,2,0)</f>
        <v>215.9671924419147</v>
      </c>
      <c r="J10" s="870"/>
    </row>
    <row r="11" spans="1:10" ht="16.5" x14ac:dyDescent="0.25">
      <c r="A11" s="1609" t="s">
        <v>645</v>
      </c>
      <c r="B11" s="1610">
        <v>7063.3241200000029</v>
      </c>
      <c r="C11" s="1610">
        <v>7113.9019010287975</v>
      </c>
      <c r="D11" s="1610">
        <v>5964.004849916525</v>
      </c>
      <c r="E11" s="1166">
        <v>6578.5605226199941</v>
      </c>
      <c r="F11" s="1166">
        <v>6559.7666797431239</v>
      </c>
      <c r="G11" s="1166">
        <v>6884.1157158697824</v>
      </c>
      <c r="H11" s="1166">
        <v>6650.678997413389</v>
      </c>
      <c r="I11" s="1611">
        <f>VLOOKUP(A11,'6.3A'!$U$5:$V$47,2,0)</f>
        <v>6926.0132730249916</v>
      </c>
      <c r="J11" s="870"/>
    </row>
    <row r="12" spans="1:10" ht="16.5" x14ac:dyDescent="0.25">
      <c r="A12" s="1609" t="s">
        <v>223</v>
      </c>
      <c r="B12" s="1610">
        <v>11402.748989999998</v>
      </c>
      <c r="C12" s="1610">
        <v>10920.634866855149</v>
      </c>
      <c r="D12" s="1610">
        <v>9179.391579389905</v>
      </c>
      <c r="E12" s="1166">
        <v>10242.288309598169</v>
      </c>
      <c r="F12" s="1166">
        <v>10770.143633150985</v>
      </c>
      <c r="G12" s="1166">
        <v>11256.701866728517</v>
      </c>
      <c r="H12" s="1166">
        <v>11752.083790272822</v>
      </c>
      <c r="I12" s="1611">
        <f>VLOOKUP(A12,'6.3A'!$U$5:$V$47,2,0)</f>
        <v>12096.62427937682</v>
      </c>
      <c r="J12" s="870"/>
    </row>
    <row r="13" spans="1:10" ht="16.5" x14ac:dyDescent="0.25">
      <c r="A13" s="1609" t="s">
        <v>709</v>
      </c>
      <c r="B13" s="1610">
        <v>18180.432389999976</v>
      </c>
      <c r="C13" s="1610">
        <v>18407.206878632715</v>
      </c>
      <c r="D13" s="1610">
        <v>18090.219551098155</v>
      </c>
      <c r="E13" s="1166">
        <v>18791.078713751955</v>
      </c>
      <c r="F13" s="1166">
        <v>19400.497553998215</v>
      </c>
      <c r="G13" s="1166">
        <v>20574.689972115571</v>
      </c>
      <c r="H13" s="1166">
        <v>21747.902437518234</v>
      </c>
      <c r="I13" s="1611">
        <f>VLOOKUP(A13,'6.3A'!$U$5:$V$47,2,0)</f>
        <v>22559.72497842892</v>
      </c>
      <c r="J13" s="870"/>
    </row>
    <row r="14" spans="1:10" ht="16.5" x14ac:dyDescent="0.25">
      <c r="A14" s="1609" t="s">
        <v>757</v>
      </c>
      <c r="B14" s="1610">
        <v>1725.49317</v>
      </c>
      <c r="C14" s="1610">
        <v>1655.7014805191695</v>
      </c>
      <c r="D14" s="1610">
        <v>1533.6102659364517</v>
      </c>
      <c r="E14" s="1166">
        <v>1619.1214831141701</v>
      </c>
      <c r="F14" s="1166">
        <v>1761.3799800210602</v>
      </c>
      <c r="G14" s="1166">
        <v>1870.1640361974735</v>
      </c>
      <c r="H14" s="1166">
        <v>1866.9131085838169</v>
      </c>
      <c r="I14" s="1611">
        <f>VLOOKUP(A14,'6.3A'!$U$5:$V$47,2,0)</f>
        <v>1964.6360720030732</v>
      </c>
      <c r="J14" s="870"/>
    </row>
    <row r="15" spans="1:10" ht="21.75" customHeight="1" x14ac:dyDescent="0.3">
      <c r="A15" s="1612" t="s">
        <v>1522</v>
      </c>
      <c r="B15" s="1613" t="s">
        <v>2517</v>
      </c>
      <c r="C15" s="1614">
        <f t="shared" ref="C15:I15" si="0">SUM(C5:C14)</f>
        <v>56570.995486316351</v>
      </c>
      <c r="D15" s="1614">
        <f t="shared" si="0"/>
        <v>50812.819970400262</v>
      </c>
      <c r="E15" s="1615">
        <f t="shared" si="0"/>
        <v>55134.823302940131</v>
      </c>
      <c r="F15" s="1615">
        <f t="shared" si="0"/>
        <v>56655.622544789476</v>
      </c>
      <c r="G15" s="1615">
        <f t="shared" si="0"/>
        <v>60091.460923070706</v>
      </c>
      <c r="H15" s="1615">
        <f t="shared" si="0"/>
        <v>62243.750437335999</v>
      </c>
      <c r="I15" s="1616">
        <f t="shared" si="0"/>
        <v>63840.008181314661</v>
      </c>
      <c r="J15" s="1059"/>
    </row>
    <row r="16" spans="1:10" ht="15.75" customHeight="1" x14ac:dyDescent="0.25">
      <c r="A16" s="3464" t="s">
        <v>1523</v>
      </c>
      <c r="B16" s="2950"/>
      <c r="C16" s="2950"/>
      <c r="D16" s="2950"/>
      <c r="E16" s="2950"/>
      <c r="F16" s="2950"/>
      <c r="G16" s="2950"/>
      <c r="H16" s="2950"/>
      <c r="I16" s="3465"/>
      <c r="J16" s="156"/>
    </row>
    <row r="17" spans="1:10" ht="16.5" x14ac:dyDescent="0.25">
      <c r="A17" s="1609" t="s">
        <v>220</v>
      </c>
      <c r="B17" s="1610">
        <v>248.39737000000028</v>
      </c>
      <c r="C17" s="1610">
        <v>263.32331682073033</v>
      </c>
      <c r="D17" s="1610">
        <v>275.80597544831483</v>
      </c>
      <c r="E17" s="1166">
        <v>302.12551136046312</v>
      </c>
      <c r="F17" s="1166">
        <v>345.90597052351518</v>
      </c>
      <c r="G17" s="1166">
        <v>374.6804550866413</v>
      </c>
      <c r="H17" s="1166">
        <v>398.27560763271913</v>
      </c>
      <c r="I17" s="1611">
        <f>VLOOKUP(A17,'6.3A'!$U$5:$V$47,2,0)</f>
        <v>441.55726290338447</v>
      </c>
      <c r="J17" s="870"/>
    </row>
    <row r="18" spans="1:10" ht="16.5" x14ac:dyDescent="0.25">
      <c r="A18" s="1609" t="s">
        <v>331</v>
      </c>
      <c r="B18" s="1610">
        <v>2743.9824999999987</v>
      </c>
      <c r="C18" s="1610">
        <v>2823.3073319528444</v>
      </c>
      <c r="D18" s="1610">
        <v>2710.0273246722149</v>
      </c>
      <c r="E18" s="1166">
        <v>2923.0999990253622</v>
      </c>
      <c r="F18" s="1166">
        <v>3102.5510019917901</v>
      </c>
      <c r="G18" s="1166">
        <v>3197.0932769144647</v>
      </c>
      <c r="H18" s="1166">
        <v>3337.150248270174</v>
      </c>
      <c r="I18" s="1611">
        <f>VLOOKUP(A18,'6.3A'!$U$5:$V$47,2,0)</f>
        <v>3338.8550834905959</v>
      </c>
      <c r="J18" s="870"/>
    </row>
    <row r="19" spans="1:10" ht="16.5" x14ac:dyDescent="0.25">
      <c r="A19" s="1609" t="s">
        <v>1492</v>
      </c>
      <c r="B19" s="1610">
        <v>240.98948999999999</v>
      </c>
      <c r="C19" s="1610">
        <v>254.71312181648065</v>
      </c>
      <c r="D19" s="1610">
        <v>236.65076148130473</v>
      </c>
      <c r="E19" s="1166">
        <v>254.00112320266726</v>
      </c>
      <c r="F19" s="1166">
        <v>313.86828667121847</v>
      </c>
      <c r="G19" s="1166">
        <v>249.85544098633275</v>
      </c>
      <c r="H19" s="1166">
        <v>267.32900340900824</v>
      </c>
      <c r="I19" s="1611">
        <f>VLOOKUP(A19,'6.3A'!$U$5:$V$47,2,0)</f>
        <v>311.16829201886435</v>
      </c>
      <c r="J19" s="870"/>
    </row>
    <row r="20" spans="1:10" ht="16.5" x14ac:dyDescent="0.25">
      <c r="A20" s="1609" t="s">
        <v>1493</v>
      </c>
      <c r="B20" s="1610">
        <v>491.87827000000021</v>
      </c>
      <c r="C20" s="1610">
        <v>550.33488844125577</v>
      </c>
      <c r="D20" s="1610">
        <v>409.29736974746879</v>
      </c>
      <c r="E20" s="1166">
        <v>472.63558579942679</v>
      </c>
      <c r="F20" s="1166">
        <v>561.51169750331667</v>
      </c>
      <c r="G20" s="1166">
        <v>619.77948873036689</v>
      </c>
      <c r="H20" s="1166">
        <v>610.18453031018248</v>
      </c>
      <c r="I20" s="1611">
        <f>VLOOKUP(A20,'6.3A'!$U$5:$V$47,2,0)</f>
        <v>622.08401027521302</v>
      </c>
      <c r="J20" s="870"/>
    </row>
    <row r="21" spans="1:10" ht="16.5" x14ac:dyDescent="0.25">
      <c r="A21" s="1609" t="s">
        <v>1494</v>
      </c>
      <c r="B21" s="1610">
        <v>138.76195999999999</v>
      </c>
      <c r="C21" s="1610">
        <v>140.90579533030086</v>
      </c>
      <c r="D21" s="1610">
        <v>130.41384162354643</v>
      </c>
      <c r="E21" s="1166">
        <v>145.99175320497974</v>
      </c>
      <c r="F21" s="1166">
        <v>174.86129756137404</v>
      </c>
      <c r="G21" s="1166">
        <v>197.78277549627745</v>
      </c>
      <c r="H21" s="1166">
        <v>226.49567975020497</v>
      </c>
      <c r="I21" s="1611">
        <f>VLOOKUP(A21,'6.3A'!$U$5:$V$47,2,0)</f>
        <v>244.41689900765073</v>
      </c>
      <c r="J21" s="870"/>
    </row>
    <row r="22" spans="1:10" ht="16.5" x14ac:dyDescent="0.25">
      <c r="A22" s="1609" t="s">
        <v>1495</v>
      </c>
      <c r="B22" s="1610">
        <v>154.36187999999999</v>
      </c>
      <c r="C22" s="1610">
        <v>171.58251839054455</v>
      </c>
      <c r="D22" s="1610">
        <v>162.54325240570529</v>
      </c>
      <c r="E22" s="1166">
        <v>190.75484763681422</v>
      </c>
      <c r="F22" s="1166">
        <v>203.02160421134892</v>
      </c>
      <c r="G22" s="1166">
        <v>218.61844355892075</v>
      </c>
      <c r="H22" s="1166">
        <v>229.2851693335819</v>
      </c>
      <c r="I22" s="1611">
        <f>VLOOKUP(A22,'6.3A'!$U$5:$V$47,2,0)</f>
        <v>238.00183055326403</v>
      </c>
      <c r="J22" s="870"/>
    </row>
    <row r="23" spans="1:10" ht="16.5" x14ac:dyDescent="0.25">
      <c r="A23" s="1609" t="s">
        <v>1496</v>
      </c>
      <c r="B23" s="1610">
        <v>125.87463000000001</v>
      </c>
      <c r="C23" s="1610">
        <v>130.08957953738729</v>
      </c>
      <c r="D23" s="1610">
        <v>108.14884443893374</v>
      </c>
      <c r="E23" s="1166">
        <v>129.65861041433322</v>
      </c>
      <c r="F23" s="1166">
        <v>151.60881967022902</v>
      </c>
      <c r="G23" s="1166">
        <v>151.37862487301663</v>
      </c>
      <c r="H23" s="1166">
        <v>151.4362915507258</v>
      </c>
      <c r="I23" s="1611">
        <f>VLOOKUP(A23,'6.3A'!$U$5:$V$47,2,0)</f>
        <v>158.0707879693943</v>
      </c>
      <c r="J23" s="870"/>
    </row>
    <row r="24" spans="1:10" ht="16.5" x14ac:dyDescent="0.25">
      <c r="A24" s="1609" t="s">
        <v>390</v>
      </c>
      <c r="B24" s="1610">
        <v>234.85895000000002</v>
      </c>
      <c r="C24" s="1610">
        <v>231.78284082286311</v>
      </c>
      <c r="D24" s="1610">
        <v>229.79967205442222</v>
      </c>
      <c r="E24" s="1166">
        <v>237.34526123102776</v>
      </c>
      <c r="F24" s="1166">
        <v>249.30434660205796</v>
      </c>
      <c r="G24" s="1166">
        <v>268.82822077683329</v>
      </c>
      <c r="H24" s="1166">
        <v>280.85306531208556</v>
      </c>
      <c r="I24" s="1611">
        <f>VLOOKUP(A24,'6.3A'!$U$5:$V$47,2,0)</f>
        <v>290.36814961608866</v>
      </c>
      <c r="J24" s="870"/>
    </row>
    <row r="25" spans="1:10" ht="16.5" x14ac:dyDescent="0.3">
      <c r="A25" s="1612" t="s">
        <v>1522</v>
      </c>
      <c r="B25" s="1614">
        <f t="shared" ref="B25:H25" si="1">SUM(B17:B24)</f>
        <v>4379.1050499999983</v>
      </c>
      <c r="C25" s="1614">
        <f t="shared" si="1"/>
        <v>4566.0393931124072</v>
      </c>
      <c r="D25" s="1614">
        <f t="shared" si="1"/>
        <v>4262.6870418719109</v>
      </c>
      <c r="E25" s="1615">
        <f t="shared" si="1"/>
        <v>4655.6126918750733</v>
      </c>
      <c r="F25" s="1615">
        <f t="shared" si="1"/>
        <v>5102.6330247348506</v>
      </c>
      <c r="G25" s="1615">
        <f t="shared" si="1"/>
        <v>5278.0167264228539</v>
      </c>
      <c r="H25" s="1615">
        <f t="shared" si="1"/>
        <v>5501.0095955686802</v>
      </c>
      <c r="I25" s="1616">
        <f>SUM(I17:I24)</f>
        <v>5644.5223158344552</v>
      </c>
      <c r="J25" s="1059"/>
    </row>
    <row r="26" spans="1:10" ht="15.75" customHeight="1" x14ac:dyDescent="0.25">
      <c r="A26" s="3464" t="s">
        <v>1524</v>
      </c>
      <c r="B26" s="2950"/>
      <c r="C26" s="2950"/>
      <c r="D26" s="2950"/>
      <c r="E26" s="2950"/>
      <c r="F26" s="2950"/>
      <c r="G26" s="2950"/>
      <c r="H26" s="2950"/>
      <c r="I26" s="3465"/>
      <c r="J26" s="156"/>
    </row>
    <row r="27" spans="1:10" ht="16.5" x14ac:dyDescent="0.25">
      <c r="A27" s="1609" t="s">
        <v>1490</v>
      </c>
      <c r="B27" s="1610">
        <v>212.01694000000001</v>
      </c>
      <c r="C27" s="1610">
        <v>217.14047490016944</v>
      </c>
      <c r="D27" s="1610">
        <v>171.46119677408419</v>
      </c>
      <c r="E27" s="1166">
        <v>189.79096197336426</v>
      </c>
      <c r="F27" s="1166">
        <v>220.42844939126016</v>
      </c>
      <c r="G27" s="1166">
        <v>222.10212444341028</v>
      </c>
      <c r="H27" s="1166">
        <v>241.07256163593814</v>
      </c>
      <c r="I27" s="1611">
        <f>VLOOKUP(A27,'6.3A'!$U$5:$V$47,2,0)</f>
        <v>243.14398910165025</v>
      </c>
      <c r="J27" s="870"/>
    </row>
    <row r="28" spans="1:10" ht="16.5" x14ac:dyDescent="0.25">
      <c r="A28" s="1609" t="s">
        <v>426</v>
      </c>
      <c r="B28" s="1610">
        <v>5242.3418699999984</v>
      </c>
      <c r="C28" s="1610">
        <v>5396.8935046812903</v>
      </c>
      <c r="D28" s="1610">
        <v>5518.296652711083</v>
      </c>
      <c r="E28" s="1166">
        <v>5362.8660967656169</v>
      </c>
      <c r="F28" s="1166">
        <v>5571.6670862423134</v>
      </c>
      <c r="G28" s="1166">
        <v>5772.6916852784634</v>
      </c>
      <c r="H28" s="1166">
        <v>6014.7467320968581</v>
      </c>
      <c r="I28" s="1611">
        <f>VLOOKUP(A28,'6.3A'!$U$5:$V$47,2,0)</f>
        <v>6403.1485424689963</v>
      </c>
      <c r="J28" s="870"/>
    </row>
    <row r="29" spans="1:10" ht="16.5" x14ac:dyDescent="0.25">
      <c r="A29" s="1609" t="s">
        <v>541</v>
      </c>
      <c r="B29" s="1610">
        <v>3409.1393000000021</v>
      </c>
      <c r="C29" s="1610">
        <v>3416.3679749214984</v>
      </c>
      <c r="D29" s="1610">
        <v>3139.3035786140049</v>
      </c>
      <c r="E29" s="1166">
        <v>3245.7815188702707</v>
      </c>
      <c r="F29" s="1166">
        <v>3380.6804181851417</v>
      </c>
      <c r="G29" s="1166">
        <v>3605.5504872274096</v>
      </c>
      <c r="H29" s="1166">
        <v>3970.7130469339622</v>
      </c>
      <c r="I29" s="1611">
        <f>VLOOKUP(A29,'6.3A'!$U$5:$V$47,2,0)</f>
        <v>4121.7613932755203</v>
      </c>
      <c r="J29" s="870"/>
    </row>
    <row r="30" spans="1:10" ht="16.5" x14ac:dyDescent="0.25">
      <c r="A30" s="1609" t="s">
        <v>631</v>
      </c>
      <c r="B30" s="1610">
        <v>5929.7314599999945</v>
      </c>
      <c r="C30" s="1610">
        <v>6029.6368400409856</v>
      </c>
      <c r="D30" s="1610">
        <v>5926.6734491520938</v>
      </c>
      <c r="E30" s="1166">
        <v>6154.443426478213</v>
      </c>
      <c r="F30" s="1166">
        <v>6642.6978220913252</v>
      </c>
      <c r="G30" s="1166">
        <v>7418.284243135713</v>
      </c>
      <c r="H30" s="1166">
        <v>7456.8621393205103</v>
      </c>
      <c r="I30" s="1611">
        <f>VLOOKUP(A30,'6.3A'!$U$5:$V$47,2,0)</f>
        <v>7903.9145818011939</v>
      </c>
      <c r="J30" s="870"/>
    </row>
    <row r="31" spans="1:10" ht="16.5" x14ac:dyDescent="0.25">
      <c r="A31" s="1609" t="s">
        <v>225</v>
      </c>
      <c r="B31" s="1610">
        <v>8788.9108299999989</v>
      </c>
      <c r="C31" s="1610">
        <v>9308.4911011097902</v>
      </c>
      <c r="D31" s="1610">
        <v>8490.7375219724818</v>
      </c>
      <c r="E31" s="1166">
        <v>8681.0036364122388</v>
      </c>
      <c r="F31" s="1166">
        <v>8896.5836695473317</v>
      </c>
      <c r="G31" s="1166">
        <v>9598.4475716773468</v>
      </c>
      <c r="H31" s="1166">
        <v>10152.325107000366</v>
      </c>
      <c r="I31" s="1611">
        <f>VLOOKUP(A31,'6.3A'!$U$5:$V$47,2,0)</f>
        <v>10342.211982176812</v>
      </c>
      <c r="J31" s="870"/>
    </row>
    <row r="32" spans="1:10" ht="16.5" x14ac:dyDescent="0.3">
      <c r="A32" s="1612" t="s">
        <v>1522</v>
      </c>
      <c r="B32" s="1614">
        <f t="shared" ref="B32:H32" si="2">SUM(B27:B31)</f>
        <v>23582.140399999997</v>
      </c>
      <c r="C32" s="1614">
        <f t="shared" si="2"/>
        <v>24368.529895653734</v>
      </c>
      <c r="D32" s="1614">
        <f t="shared" si="2"/>
        <v>23246.472399223749</v>
      </c>
      <c r="E32" s="1615">
        <f t="shared" si="2"/>
        <v>23633.885640499706</v>
      </c>
      <c r="F32" s="1615">
        <f t="shared" si="2"/>
        <v>24712.057445457373</v>
      </c>
      <c r="G32" s="1615">
        <f t="shared" si="2"/>
        <v>26617.076111762341</v>
      </c>
      <c r="H32" s="1615">
        <f t="shared" si="2"/>
        <v>27835.719586987638</v>
      </c>
      <c r="I32" s="1616">
        <f>SUM(I27:I31)</f>
        <v>29014.180488824175</v>
      </c>
      <c r="J32" s="1059"/>
    </row>
    <row r="33" spans="1:10" ht="15.75" customHeight="1" x14ac:dyDescent="0.25">
      <c r="A33" s="3464" t="s">
        <v>1526</v>
      </c>
      <c r="B33" s="2950"/>
      <c r="C33" s="2950"/>
      <c r="D33" s="2950"/>
      <c r="E33" s="2950"/>
      <c r="F33" s="2950"/>
      <c r="G33" s="2950"/>
      <c r="H33" s="2950"/>
      <c r="I33" s="3465"/>
      <c r="J33" s="156"/>
    </row>
    <row r="34" spans="1:10" ht="16.5" x14ac:dyDescent="0.25">
      <c r="A34" s="1609" t="s">
        <v>452</v>
      </c>
      <c r="B34" s="1610">
        <v>4109.875170000003</v>
      </c>
      <c r="C34" s="1610">
        <v>3666.9914660018812</v>
      </c>
      <c r="D34" s="1610">
        <v>3420.814793838902</v>
      </c>
      <c r="E34" s="1166">
        <v>3598.1782999787956</v>
      </c>
      <c r="F34" s="1166">
        <v>4156.1832847141695</v>
      </c>
      <c r="G34" s="1166">
        <v>4285.5100906570269</v>
      </c>
      <c r="H34" s="1166">
        <v>4351.2989737125445</v>
      </c>
      <c r="I34" s="1611">
        <f>VLOOKUP(A34,'6.3A'!$U$5:$V$47,2,0)</f>
        <v>4552.0145426681793</v>
      </c>
      <c r="J34" s="870"/>
    </row>
    <row r="35" spans="1:10" s="167" customFormat="1" ht="22.5" customHeight="1" x14ac:dyDescent="0.25">
      <c r="A35" s="1617" t="s">
        <v>1527</v>
      </c>
      <c r="B35" s="1610">
        <v>618.85977000000003</v>
      </c>
      <c r="C35" s="1610">
        <v>570.37995708182825</v>
      </c>
      <c r="D35" s="1610">
        <v>541.63307260857755</v>
      </c>
      <c r="E35" s="1166">
        <v>522.09372809061711</v>
      </c>
      <c r="F35" s="1166">
        <v>535.776435875022</v>
      </c>
      <c r="G35" s="1166">
        <v>499.53053647822549</v>
      </c>
      <c r="H35" s="1166">
        <v>545.96618864784864</v>
      </c>
      <c r="I35" s="1611">
        <f>VLOOKUP(A35,'6.3A'!$U$5:$V$47,2,0)</f>
        <v>543.74049672514366</v>
      </c>
      <c r="J35" s="870"/>
    </row>
    <row r="36" spans="1:10" ht="16.5" x14ac:dyDescent="0.25">
      <c r="A36" s="1609" t="s">
        <v>466</v>
      </c>
      <c r="B36" s="1610">
        <v>797.53549999999962</v>
      </c>
      <c r="C36" s="1610">
        <v>789.91511400229444</v>
      </c>
      <c r="D36" s="1610">
        <v>555.5835004417188</v>
      </c>
      <c r="E36" s="1166">
        <v>680.14148310319558</v>
      </c>
      <c r="F36" s="1166">
        <v>778.52099563356762</v>
      </c>
      <c r="G36" s="1166">
        <v>833.82216217987957</v>
      </c>
      <c r="H36" s="1166">
        <v>814.8845301148117</v>
      </c>
      <c r="I36" s="1611">
        <f>VLOOKUP(A36,'6.3A'!$U$5:$V$47,2,0)</f>
        <v>806.10961032757677</v>
      </c>
      <c r="J36" s="870"/>
    </row>
    <row r="37" spans="1:10" ht="16.5" x14ac:dyDescent="0.25">
      <c r="A37" s="1609" t="s">
        <v>822</v>
      </c>
      <c r="B37" s="1610">
        <v>21216.442809999979</v>
      </c>
      <c r="C37" s="1610">
        <v>22535.577484713009</v>
      </c>
      <c r="D37" s="1610">
        <v>21940.063143291798</v>
      </c>
      <c r="E37" s="1166">
        <v>24220.705356906074</v>
      </c>
      <c r="F37" s="1166">
        <v>25705.11950502911</v>
      </c>
      <c r="G37" s="1166">
        <v>24646.19354027394</v>
      </c>
      <c r="H37" s="1166">
        <v>26130.528676038288</v>
      </c>
      <c r="I37" s="1611">
        <f>VLOOKUP(A37,'6.3A'!$U$5:$V$47,2,0)</f>
        <v>27237.189259011593</v>
      </c>
      <c r="J37" s="870"/>
    </row>
    <row r="38" spans="1:10" ht="16.5" x14ac:dyDescent="0.25">
      <c r="A38" s="1609" t="s">
        <v>578</v>
      </c>
      <c r="B38" s="1610">
        <v>8005.9597000000012</v>
      </c>
      <c r="C38" s="1610">
        <v>7859.998645173323</v>
      </c>
      <c r="D38" s="1610">
        <v>7283.3163471032294</v>
      </c>
      <c r="E38" s="1166">
        <v>7533.929519476631</v>
      </c>
      <c r="F38" s="1166">
        <v>8346.0215936681834</v>
      </c>
      <c r="G38" s="1166">
        <v>8796.6949182529988</v>
      </c>
      <c r="H38" s="1166">
        <v>9289.4977603193256</v>
      </c>
      <c r="I38" s="1611">
        <f>VLOOKUP(A38,'6.3A'!$U$5:$V$47,2,0)</f>
        <v>9586.4748012753535</v>
      </c>
      <c r="J38" s="870"/>
    </row>
    <row r="39" spans="1:10" ht="16.5" x14ac:dyDescent="0.25">
      <c r="A39" s="1609" t="s">
        <v>606</v>
      </c>
      <c r="B39" s="1610">
        <v>21017.232580000007</v>
      </c>
      <c r="C39" s="1610">
        <v>20796.805445321839</v>
      </c>
      <c r="D39" s="1610">
        <v>17849.385676165803</v>
      </c>
      <c r="E39" s="1166">
        <v>19050.510745177922</v>
      </c>
      <c r="F39" s="1166">
        <v>20950.722120916696</v>
      </c>
      <c r="G39" s="1166">
        <v>22030.13947701122</v>
      </c>
      <c r="H39" s="1166">
        <v>23087.999876005611</v>
      </c>
      <c r="I39" s="1611">
        <f>VLOOKUP(A39,'6.3A'!$U$5:$V$47,2,0)</f>
        <v>24293.904226234616</v>
      </c>
      <c r="J39" s="870"/>
    </row>
    <row r="40" spans="1:10" ht="16.5" x14ac:dyDescent="0.3">
      <c r="A40" s="1612" t="s">
        <v>1522</v>
      </c>
      <c r="B40" s="1614">
        <f t="shared" ref="B40:H40" si="3">SUM(B34:B39)</f>
        <v>55765.905529999989</v>
      </c>
      <c r="C40" s="1614">
        <f t="shared" si="3"/>
        <v>56219.668112294166</v>
      </c>
      <c r="D40" s="1614">
        <f t="shared" si="3"/>
        <v>51590.796533450026</v>
      </c>
      <c r="E40" s="1615">
        <f t="shared" si="3"/>
        <v>55605.559132733237</v>
      </c>
      <c r="F40" s="1615">
        <f t="shared" si="3"/>
        <v>60472.343935836747</v>
      </c>
      <c r="G40" s="1615">
        <f t="shared" si="3"/>
        <v>61091.890724853292</v>
      </c>
      <c r="H40" s="1615">
        <f t="shared" si="3"/>
        <v>64220.176004838431</v>
      </c>
      <c r="I40" s="1616">
        <f>SUM(I34:I39)</f>
        <v>67019.432936242461</v>
      </c>
      <c r="J40" s="1059"/>
    </row>
    <row r="41" spans="1:10" ht="15.75" customHeight="1" x14ac:dyDescent="0.25">
      <c r="A41" s="3464" t="s">
        <v>1528</v>
      </c>
      <c r="B41" s="2950"/>
      <c r="C41" s="2950"/>
      <c r="D41" s="2950"/>
      <c r="E41" s="2950"/>
      <c r="F41" s="2950"/>
      <c r="G41" s="2950"/>
      <c r="H41" s="2950"/>
      <c r="I41" s="3465"/>
      <c r="J41" s="156"/>
    </row>
    <row r="42" spans="1:10" ht="16.5" x14ac:dyDescent="0.25">
      <c r="A42" s="1609" t="s">
        <v>221</v>
      </c>
      <c r="B42" s="1610">
        <v>7819.8209399999932</v>
      </c>
      <c r="C42" s="1610">
        <v>7699.3445063237377</v>
      </c>
      <c r="D42" s="1610">
        <v>7266.291119527662</v>
      </c>
      <c r="E42" s="1166">
        <v>7552.554333198721</v>
      </c>
      <c r="F42" s="1166">
        <v>8036.9227313831752</v>
      </c>
      <c r="G42" s="1166">
        <v>8163.0709985628973</v>
      </c>
      <c r="H42" s="1166">
        <v>8289.5654958194154</v>
      </c>
      <c r="I42" s="1611">
        <f>VLOOKUP(A42,'6.3A'!$U$5:$V$47,2,0)</f>
        <v>8797.0303529026678</v>
      </c>
      <c r="J42" s="870"/>
    </row>
    <row r="43" spans="1:10" ht="16.5" x14ac:dyDescent="0.25">
      <c r="A43" s="1609" t="s">
        <v>550</v>
      </c>
      <c r="B43" s="1610">
        <v>13205.948999999986</v>
      </c>
      <c r="C43" s="1610">
        <v>13067.367699628663</v>
      </c>
      <c r="D43" s="1610">
        <v>11121.366307076318</v>
      </c>
      <c r="E43" s="1166">
        <v>12479.309491507818</v>
      </c>
      <c r="F43" s="1166">
        <v>15009.424811873494</v>
      </c>
      <c r="G43" s="1166">
        <v>15420.976569866303</v>
      </c>
      <c r="H43" s="1166">
        <v>15962.306407371443</v>
      </c>
      <c r="I43" s="1611">
        <f>VLOOKUP(A43,'6.3A'!$U$5:$V$47,2,0)</f>
        <v>16355.775470162464</v>
      </c>
      <c r="J43" s="870"/>
    </row>
    <row r="44" spans="1:10" ht="16.5" x14ac:dyDescent="0.25">
      <c r="A44" s="1609" t="s">
        <v>568</v>
      </c>
      <c r="B44" s="1610">
        <v>6338.9464199999993</v>
      </c>
      <c r="C44" s="1610">
        <v>6533.4584719129616</v>
      </c>
      <c r="D44" s="1610">
        <v>5461.2843238939049</v>
      </c>
      <c r="E44" s="1166">
        <v>5901.6801010184954</v>
      </c>
      <c r="F44" s="1166">
        <v>6879.0530109287183</v>
      </c>
      <c r="G44" s="1166">
        <v>6891.6834217613923</v>
      </c>
      <c r="H44" s="1166">
        <v>6939.7148062972483</v>
      </c>
      <c r="I44" s="1611">
        <f>VLOOKUP(A44,'6.3A'!$U$5:$V$47,2,0)</f>
        <v>7266.906900408846</v>
      </c>
      <c r="J44" s="870"/>
    </row>
    <row r="45" spans="1:10" ht="16.5" x14ac:dyDescent="0.25">
      <c r="A45" s="1609" t="s">
        <v>1500</v>
      </c>
      <c r="B45" s="1610">
        <v>15.137629999999998</v>
      </c>
      <c r="C45" s="1610">
        <v>16.532864978814249</v>
      </c>
      <c r="D45" s="1610">
        <v>17.692458998378214</v>
      </c>
      <c r="E45" s="1166">
        <v>17.595040023426066</v>
      </c>
      <c r="F45" s="1166">
        <v>18.091357021731319</v>
      </c>
      <c r="G45" s="1166">
        <v>21.537481986977262</v>
      </c>
      <c r="H45" s="1166">
        <v>24.664829888211145</v>
      </c>
      <c r="I45" s="1611">
        <f>VLOOKUP(A45,'6.3A'!$U$5:$V$47,2,0)</f>
        <v>22.496070845095243</v>
      </c>
      <c r="J45" s="870"/>
    </row>
    <row r="46" spans="1:10" ht="16.5" x14ac:dyDescent="0.25">
      <c r="A46" s="1609" t="s">
        <v>851</v>
      </c>
      <c r="B46" s="1610">
        <v>542.08999000000006</v>
      </c>
      <c r="C46" s="1610">
        <v>516.65372756916418</v>
      </c>
      <c r="D46" s="1610">
        <v>412.81659797366376</v>
      </c>
      <c r="E46" s="1166">
        <v>531.40796467967721</v>
      </c>
      <c r="F46" s="1166">
        <v>820.18869094174158</v>
      </c>
      <c r="G46" s="1166">
        <v>859.79156111813256</v>
      </c>
      <c r="H46" s="1166">
        <v>878.56833054517426</v>
      </c>
      <c r="I46" s="1611">
        <f>VLOOKUP(A46,'6.3A'!$U$5:$V$47,2,0)</f>
        <v>898.04907665057419</v>
      </c>
      <c r="J46" s="870"/>
    </row>
    <row r="47" spans="1:10" ht="16.5" x14ac:dyDescent="0.25">
      <c r="A47" s="1609" t="s">
        <v>224</v>
      </c>
      <c r="B47" s="1610">
        <v>14421.19410000001</v>
      </c>
      <c r="C47" s="1610">
        <v>14115.553342752391</v>
      </c>
      <c r="D47" s="1610">
        <v>12194.965682473376</v>
      </c>
      <c r="E47" s="1166">
        <v>13067.67928735703</v>
      </c>
      <c r="F47" s="1166">
        <v>14524.940511333923</v>
      </c>
      <c r="G47" s="1166">
        <v>15491.204600771414</v>
      </c>
      <c r="H47" s="1166">
        <v>15878.636100924348</v>
      </c>
      <c r="I47" s="1611">
        <f>VLOOKUP(A47,'6.3A'!$U$5:$V$47,2,0)</f>
        <v>16848.070642772993</v>
      </c>
      <c r="J47" s="870"/>
    </row>
    <row r="48" spans="1:10" ht="16.5" x14ac:dyDescent="0.25">
      <c r="A48" s="1609" t="s">
        <v>691</v>
      </c>
      <c r="B48" s="1610">
        <v>6999.7487599999968</v>
      </c>
      <c r="C48" s="1610">
        <v>6952.5077192418294</v>
      </c>
      <c r="D48" s="1610">
        <v>6222.7768249562478</v>
      </c>
      <c r="E48" s="1166">
        <v>6859.3132378352302</v>
      </c>
      <c r="F48" s="1166">
        <v>7287.7755382918776</v>
      </c>
      <c r="G48" s="1166">
        <v>7567.2905740051683</v>
      </c>
      <c r="H48" s="1166">
        <v>7612.8949445754788</v>
      </c>
      <c r="I48" s="1611">
        <f>VLOOKUP(A48,'6.3A'!$U$5:$V$47,2,0)</f>
        <v>7773.8387108066108</v>
      </c>
      <c r="J48" s="870"/>
    </row>
    <row r="49" spans="1:10" ht="16.5" x14ac:dyDescent="0.3">
      <c r="A49" s="1612" t="s">
        <v>1522</v>
      </c>
      <c r="B49" s="1614">
        <f t="shared" ref="B49:H49" si="4">SUM(B42:B48)</f>
        <v>49342.886839999985</v>
      </c>
      <c r="C49" s="1614">
        <f t="shared" si="4"/>
        <v>48901.418332407564</v>
      </c>
      <c r="D49" s="1614">
        <f t="shared" si="4"/>
        <v>42697.193314899552</v>
      </c>
      <c r="E49" s="1615">
        <f t="shared" si="4"/>
        <v>46409.539455620397</v>
      </c>
      <c r="F49" s="1615">
        <f t="shared" si="4"/>
        <v>52576.396651774659</v>
      </c>
      <c r="G49" s="1615">
        <f t="shared" si="4"/>
        <v>54415.555208072285</v>
      </c>
      <c r="H49" s="1615">
        <f t="shared" si="4"/>
        <v>55586.350915421317</v>
      </c>
      <c r="I49" s="1616">
        <f>SUM(I42:I48)</f>
        <v>57962.167224549252</v>
      </c>
      <c r="J49" s="1059"/>
    </row>
    <row r="50" spans="1:10" ht="16.5" x14ac:dyDescent="0.3">
      <c r="A50" s="1760" t="s">
        <v>2595</v>
      </c>
      <c r="B50" s="1614"/>
      <c r="C50" s="1614"/>
      <c r="D50" s="1614"/>
      <c r="E50" s="1615">
        <v>16257.2</v>
      </c>
      <c r="F50" s="1615">
        <v>23491.5</v>
      </c>
      <c r="G50" s="1615">
        <v>26764.7</v>
      </c>
      <c r="H50" s="1615">
        <v>23834.470221458698</v>
      </c>
      <c r="I50" s="1616">
        <v>18132.200005333332</v>
      </c>
      <c r="J50" s="1059"/>
    </row>
    <row r="51" spans="1:10" ht="16.5" x14ac:dyDescent="0.3">
      <c r="A51" s="1618" t="s">
        <v>1529</v>
      </c>
      <c r="B51" s="1614">
        <v>213216.25920886622</v>
      </c>
      <c r="C51" s="1614">
        <v>214126.62644980694</v>
      </c>
      <c r="D51" s="1614">
        <v>194295.32182621546</v>
      </c>
      <c r="E51" s="1615">
        <v>201696.6577316687</v>
      </c>
      <c r="F51" s="1615">
        <v>223008.25949358247</v>
      </c>
      <c r="G51" s="1615">
        <v>234258.70406625391</v>
      </c>
      <c r="H51" s="1615">
        <v>239221.47676161071</v>
      </c>
      <c r="I51" s="1616">
        <f>'6.3A'!$V$45+'6.3A'!$V$47</f>
        <v>241612.51115209836</v>
      </c>
      <c r="J51" s="1060"/>
    </row>
    <row r="52" spans="1:10" ht="16.5" x14ac:dyDescent="0.3">
      <c r="A52" s="1376" t="s">
        <v>2396</v>
      </c>
      <c r="B52" s="1377"/>
      <c r="C52" s="1377"/>
      <c r="D52" s="1377"/>
      <c r="E52" s="1377"/>
      <c r="F52" s="1377"/>
      <c r="G52" s="1377"/>
      <c r="H52" s="1377"/>
      <c r="I52" s="1378"/>
      <c r="J52" s="1059"/>
    </row>
    <row r="53" spans="1:10" ht="18" customHeight="1" thickBot="1" x14ac:dyDescent="0.3">
      <c r="A53" s="1379" t="s">
        <v>1530</v>
      </c>
      <c r="B53" s="1380"/>
      <c r="C53" s="1380"/>
      <c r="D53" s="1380"/>
      <c r="E53" s="1380"/>
      <c r="F53" s="1380"/>
      <c r="G53" s="1380"/>
      <c r="H53" s="1380"/>
      <c r="I53" s="1381"/>
      <c r="J53" s="168"/>
    </row>
    <row r="54" spans="1:10" ht="15.75" x14ac:dyDescent="0.25">
      <c r="A54" s="169"/>
      <c r="B54" s="170"/>
      <c r="C54" s="170"/>
      <c r="D54" s="170"/>
      <c r="E54" s="170"/>
      <c r="F54" s="170"/>
      <c r="G54" s="170"/>
      <c r="H54" s="170"/>
      <c r="I54" s="170"/>
      <c r="J54" s="170"/>
    </row>
    <row r="65" ht="1.5" customHeight="1" x14ac:dyDescent="0.25"/>
  </sheetData>
  <mergeCells count="7">
    <mergeCell ref="A41:I41"/>
    <mergeCell ref="A1:I1"/>
    <mergeCell ref="A2:I2"/>
    <mergeCell ref="A4:I4"/>
    <mergeCell ref="A16:I16"/>
    <mergeCell ref="A26:I26"/>
    <mergeCell ref="A33:I33"/>
  </mergeCells>
  <pageMargins left="0.70866141732283472" right="0.70866141732283472" top="0.74803149606299213" bottom="0.74803149606299213" header="0.31496062992125984" footer="0.31496062992125984"/>
  <pageSetup paperSize="9" scale="75" orientation="portrait" r:id="rId1"/>
  <colBreaks count="1" manualBreakCount="1">
    <brk id="10" max="1048575" man="1"/>
  </colBreaks>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020949-709B-48EE-90FF-3BFA14E2E467}">
  <sheetPr>
    <tabColor theme="0"/>
    <pageSetUpPr fitToPage="1"/>
  </sheetPr>
  <dimension ref="A1:K64"/>
  <sheetViews>
    <sheetView view="pageLayout" topLeftCell="A35" zoomScale="80" zoomScaleNormal="100" zoomScalePageLayoutView="80" workbookViewId="0">
      <selection activeCell="B81" sqref="B81"/>
    </sheetView>
  </sheetViews>
  <sheetFormatPr defaultColWidth="0" defaultRowHeight="15" x14ac:dyDescent="0.25"/>
  <cols>
    <col min="1" max="1" width="44.5703125" style="166" customWidth="1"/>
    <col min="2" max="4" width="11.7109375" style="166" hidden="1" customWidth="1"/>
    <col min="5" max="6" width="11.7109375" style="166" customWidth="1"/>
    <col min="7" max="7" width="14.140625" style="166" customWidth="1"/>
    <col min="8" max="8" width="14.28515625" style="166" customWidth="1"/>
    <col min="9" max="9" width="16.42578125" style="166" customWidth="1"/>
    <col min="10" max="11" width="7" style="166" hidden="1" customWidth="1"/>
    <col min="12" max="16384" width="0" style="166" hidden="1"/>
  </cols>
  <sheetData>
    <row r="1" spans="1:10" ht="20.25" x14ac:dyDescent="0.25">
      <c r="A1" s="3478"/>
      <c r="B1" s="3478"/>
      <c r="C1" s="3478"/>
      <c r="D1" s="3478"/>
      <c r="E1" s="3478"/>
      <c r="F1" s="3478"/>
      <c r="G1" s="3478"/>
      <c r="H1" s="3478"/>
      <c r="I1" s="3478"/>
    </row>
    <row r="2" spans="1:10" ht="15.75" thickBot="1" x14ac:dyDescent="0.3"/>
    <row r="3" spans="1:10" ht="24.75" customHeight="1" x14ac:dyDescent="0.25">
      <c r="A3" s="3479" t="s">
        <v>2593</v>
      </c>
      <c r="B3" s="3480"/>
      <c r="C3" s="3480"/>
      <c r="D3" s="3480"/>
      <c r="E3" s="3480"/>
      <c r="F3" s="3480"/>
      <c r="G3" s="3480"/>
      <c r="H3" s="3480"/>
      <c r="I3" s="3481"/>
      <c r="J3" s="1061"/>
    </row>
    <row r="4" spans="1:10" ht="16.5" x14ac:dyDescent="0.25">
      <c r="A4" s="3469" t="s">
        <v>1476</v>
      </c>
      <c r="B4" s="3470"/>
      <c r="C4" s="3470"/>
      <c r="D4" s="3470"/>
      <c r="E4" s="3470"/>
      <c r="F4" s="3470"/>
      <c r="G4" s="3470"/>
      <c r="H4" s="3470"/>
      <c r="I4" s="3471"/>
      <c r="J4" s="1061"/>
    </row>
    <row r="5" spans="1:10" ht="18.75" x14ac:dyDescent="0.25">
      <c r="A5" s="1095" t="s">
        <v>1519</v>
      </c>
      <c r="B5" s="541" t="s">
        <v>7</v>
      </c>
      <c r="C5" s="1096" t="s">
        <v>8</v>
      </c>
      <c r="D5" s="1096" t="s">
        <v>9</v>
      </c>
      <c r="E5" s="1096" t="s">
        <v>77</v>
      </c>
      <c r="F5" s="1096" t="s">
        <v>11</v>
      </c>
      <c r="G5" s="1096" t="s">
        <v>382</v>
      </c>
      <c r="H5" s="1096" t="s">
        <v>2309</v>
      </c>
      <c r="I5" s="1097" t="s">
        <v>2479</v>
      </c>
      <c r="J5" s="1061"/>
    </row>
    <row r="6" spans="1:10" ht="16.5" x14ac:dyDescent="0.25">
      <c r="A6" s="3472" t="s">
        <v>1520</v>
      </c>
      <c r="B6" s="3473"/>
      <c r="C6" s="3473"/>
      <c r="D6" s="3473"/>
      <c r="E6" s="3473"/>
      <c r="F6" s="3473"/>
      <c r="G6" s="3473"/>
      <c r="H6" s="3473"/>
      <c r="I6" s="3474"/>
      <c r="J6" s="1061"/>
    </row>
    <row r="7" spans="1:10" ht="16.5" x14ac:dyDescent="0.25">
      <c r="A7" s="1609" t="s">
        <v>1484</v>
      </c>
      <c r="B7" s="1610">
        <v>122.64828108433733</v>
      </c>
      <c r="C7" s="1610">
        <v>126.79703653437278</v>
      </c>
      <c r="D7" s="1610">
        <v>91.377824635010569</v>
      </c>
      <c r="E7" s="1166">
        <v>110.02161361445786</v>
      </c>
      <c r="F7" s="1166">
        <v>114.36830413890857</v>
      </c>
      <c r="G7" s="1166">
        <v>119.78304776045363</v>
      </c>
      <c r="H7" s="1619">
        <v>129.42500000000001</v>
      </c>
      <c r="I7" s="1611">
        <f>VLOOKUP(A7,'6.3A'!$U$5:$Y$47,5,0)</f>
        <v>138.57027809355074</v>
      </c>
      <c r="J7" s="1061"/>
    </row>
    <row r="8" spans="1:10" ht="16.5" x14ac:dyDescent="0.25">
      <c r="A8" s="1609" t="s">
        <v>1485</v>
      </c>
      <c r="B8" s="1610">
        <v>903.11358669666947</v>
      </c>
      <c r="C8" s="1610">
        <v>875.96574019843979</v>
      </c>
      <c r="D8" s="1610">
        <v>668.80344675265678</v>
      </c>
      <c r="E8" s="1166">
        <v>693.31429383416003</v>
      </c>
      <c r="F8" s="1166">
        <v>899.51261917434556</v>
      </c>
      <c r="G8" s="1166">
        <v>960.28099449326874</v>
      </c>
      <c r="H8" s="1619">
        <v>1035.327</v>
      </c>
      <c r="I8" s="1611">
        <f>VLOOKUP(A8,'6.3A'!$U$5:$Y$47,5,0)</f>
        <v>1088.6116323855424</v>
      </c>
      <c r="J8" s="1061"/>
    </row>
    <row r="9" spans="1:10" ht="16.5" x14ac:dyDescent="0.25">
      <c r="A9" s="1609" t="s">
        <v>507</v>
      </c>
      <c r="B9" s="1610">
        <v>978.45944038320124</v>
      </c>
      <c r="C9" s="1610">
        <v>1029.4003599050031</v>
      </c>
      <c r="D9" s="1610">
        <v>1011.5961852548973</v>
      </c>
      <c r="E9" s="1166">
        <v>1113.6915848399885</v>
      </c>
      <c r="F9" s="1166">
        <v>1203.3408407072432</v>
      </c>
      <c r="G9" s="1166">
        <v>1289.944374350554</v>
      </c>
      <c r="H9" s="1619">
        <v>1430.32</v>
      </c>
      <c r="I9" s="1611">
        <f>VLOOKUP(A9,'6.3A'!$U$5:$Y$47,5,0)</f>
        <v>1528.4504665277359</v>
      </c>
      <c r="J9" s="1061"/>
    </row>
    <row r="10" spans="1:10" ht="16.5" x14ac:dyDescent="0.25">
      <c r="A10" s="1609" t="s">
        <v>538</v>
      </c>
      <c r="B10" s="1610">
        <v>224.63045930545735</v>
      </c>
      <c r="C10" s="1610">
        <v>238.02663031183539</v>
      </c>
      <c r="D10" s="1610">
        <v>233.09308924167266</v>
      </c>
      <c r="E10" s="1166">
        <v>272.26446497519487</v>
      </c>
      <c r="F10" s="1166">
        <v>306.43641615166513</v>
      </c>
      <c r="G10" s="1166">
        <v>320.82337862331599</v>
      </c>
      <c r="H10" s="1619">
        <v>356.86399999999998</v>
      </c>
      <c r="I10" s="1611">
        <f>VLOOKUP(A10,'6.3A'!$U$5:$Y$47,5,0)</f>
        <v>380.23607686747033</v>
      </c>
      <c r="J10" s="1061"/>
    </row>
    <row r="11" spans="1:10" ht="16.5" x14ac:dyDescent="0.25">
      <c r="A11" s="1609" t="s">
        <v>1521</v>
      </c>
      <c r="B11" s="1610">
        <v>274.69752279943327</v>
      </c>
      <c r="C11" s="1610">
        <v>300.39002379163628</v>
      </c>
      <c r="D11" s="1610">
        <v>273.11455478384119</v>
      </c>
      <c r="E11" s="1166">
        <v>316.33818531537895</v>
      </c>
      <c r="F11" s="1166">
        <v>354.73280379872472</v>
      </c>
      <c r="G11" s="1166">
        <v>380.2384130687451</v>
      </c>
      <c r="H11" s="1619">
        <v>412.93099999999998</v>
      </c>
      <c r="I11" s="1611">
        <f>VLOOKUP(A11,'6.3A'!$U$5:$Y$47,5,0)</f>
        <v>431.8371908221103</v>
      </c>
      <c r="J11" s="1061"/>
    </row>
    <row r="12" spans="1:10" ht="16.5" x14ac:dyDescent="0.25">
      <c r="A12" s="1609" t="s">
        <v>1488</v>
      </c>
      <c r="B12" s="1610"/>
      <c r="C12" s="1610">
        <v>3.5870298440822119</v>
      </c>
      <c r="D12" s="1610">
        <v>12.461074238128992</v>
      </c>
      <c r="E12" s="1166">
        <v>16.790783253012055</v>
      </c>
      <c r="F12" s="1166">
        <v>20.344889978738479</v>
      </c>
      <c r="G12" s="1166">
        <v>21.707816052445086</v>
      </c>
      <c r="H12" s="1619">
        <v>22.36</v>
      </c>
      <c r="I12" s="1611">
        <f>VLOOKUP(A12,'6.3A'!$U$5:$Y$47,5,0)</f>
        <v>23.65633183557761</v>
      </c>
      <c r="J12" s="1061"/>
    </row>
    <row r="13" spans="1:10" ht="16.5" x14ac:dyDescent="0.25">
      <c r="A13" s="1609" t="s">
        <v>645</v>
      </c>
      <c r="B13" s="1610">
        <v>879.20362847426054</v>
      </c>
      <c r="C13" s="1610">
        <v>960.24263912780293</v>
      </c>
      <c r="D13" s="1610">
        <v>888.36002192207343</v>
      </c>
      <c r="E13" s="1166">
        <v>1015.8473023730055</v>
      </c>
      <c r="F13" s="1166">
        <v>1133.5132981649754</v>
      </c>
      <c r="G13" s="1166">
        <v>1182.9251762139302</v>
      </c>
      <c r="H13" s="1619">
        <v>1252.4259999999999</v>
      </c>
      <c r="I13" s="1611">
        <f>VLOOKUP(A13,'6.3A'!$U$5:$Y$47,5,0)</f>
        <v>1302.2900725494044</v>
      </c>
      <c r="J13" s="1061"/>
    </row>
    <row r="14" spans="1:10" ht="24.75" customHeight="1" x14ac:dyDescent="0.25">
      <c r="A14" s="1609" t="s">
        <v>223</v>
      </c>
      <c r="B14" s="1613" t="s">
        <v>2517</v>
      </c>
      <c r="C14" s="1610">
        <v>1657.0040135233144</v>
      </c>
      <c r="D14" s="1610">
        <v>1549.430056960095</v>
      </c>
      <c r="E14" s="1166">
        <v>1621.4699673479404</v>
      </c>
      <c r="F14" s="1166">
        <v>1790.3520367383505</v>
      </c>
      <c r="G14" s="1166">
        <v>1896.4327572892144</v>
      </c>
      <c r="H14" s="1619">
        <v>2035.6780000000001</v>
      </c>
      <c r="I14" s="1611">
        <f>VLOOKUP(A14,'6.3A'!$U$5:$Y$47,5,0)</f>
        <v>2160.0572248659828</v>
      </c>
      <c r="J14" s="1061"/>
    </row>
    <row r="15" spans="1:10" ht="16.5" x14ac:dyDescent="0.25">
      <c r="A15" s="1609" t="s">
        <v>709</v>
      </c>
      <c r="B15" s="1610">
        <v>3119.2227257040158</v>
      </c>
      <c r="C15" s="1610">
        <v>3319.9173503759066</v>
      </c>
      <c r="D15" s="1610">
        <v>3210.0640034846183</v>
      </c>
      <c r="E15" s="1166">
        <v>3696.1028822523122</v>
      </c>
      <c r="F15" s="1166">
        <v>4103.3978920891914</v>
      </c>
      <c r="G15" s="1166">
        <v>4368.6285954810546</v>
      </c>
      <c r="H15" s="1619">
        <v>4832.7910000000002</v>
      </c>
      <c r="I15" s="1611">
        <f>VLOOKUP(A15,'6.3A'!$U$5:$Y$47,5,0)</f>
        <v>5157.8417251192777</v>
      </c>
      <c r="J15" s="1061"/>
    </row>
    <row r="16" spans="1:10" ht="16.5" x14ac:dyDescent="0.25">
      <c r="A16" s="1609" t="s">
        <v>757</v>
      </c>
      <c r="B16" s="1610">
        <v>309.23854797306859</v>
      </c>
      <c r="C16" s="1610">
        <v>326.27568138766839</v>
      </c>
      <c r="D16" s="1610">
        <v>293.00901435861107</v>
      </c>
      <c r="E16" s="1166">
        <v>338.44073612331653</v>
      </c>
      <c r="F16" s="1166">
        <v>410.19958792345835</v>
      </c>
      <c r="G16" s="1166">
        <v>438.65591625797214</v>
      </c>
      <c r="H16" s="1619">
        <v>488.61099999999999</v>
      </c>
      <c r="I16" s="1611">
        <f>VLOOKUP(A16,'6.3A'!$U$5:$Y$47,5,0)</f>
        <v>526.63414835577566</v>
      </c>
      <c r="J16" s="1061"/>
    </row>
    <row r="17" spans="1:10" ht="16.5" x14ac:dyDescent="0.25">
      <c r="A17" s="1612" t="s">
        <v>1522</v>
      </c>
      <c r="B17" s="1614">
        <f t="shared" ref="B17:H17" si="0">SUM(B7:B16)</f>
        <v>6811.2141924204434</v>
      </c>
      <c r="C17" s="1614">
        <f t="shared" si="0"/>
        <v>8837.6065050000616</v>
      </c>
      <c r="D17" s="1614">
        <f t="shared" si="0"/>
        <v>8231.309271631606</v>
      </c>
      <c r="E17" s="1615">
        <f t="shared" si="0"/>
        <v>9194.2818139287665</v>
      </c>
      <c r="F17" s="1615">
        <f t="shared" si="0"/>
        <v>10336.198688865601</v>
      </c>
      <c r="G17" s="1615">
        <f t="shared" si="0"/>
        <v>10979.420469590954</v>
      </c>
      <c r="H17" s="1615">
        <f t="shared" si="0"/>
        <v>11996.733</v>
      </c>
      <c r="I17" s="1616">
        <f>SUM(I7:I16)</f>
        <v>12738.185147422428</v>
      </c>
      <c r="J17" s="1061"/>
    </row>
    <row r="18" spans="1:10" ht="16.5" x14ac:dyDescent="0.25">
      <c r="A18" s="3475" t="s">
        <v>1523</v>
      </c>
      <c r="B18" s="3476"/>
      <c r="C18" s="3476"/>
      <c r="D18" s="3476"/>
      <c r="E18" s="3476"/>
      <c r="F18" s="3476"/>
      <c r="G18" s="3476"/>
      <c r="H18" s="3476"/>
      <c r="I18" s="3477"/>
      <c r="J18" s="1061"/>
    </row>
    <row r="19" spans="1:10" ht="16.5" x14ac:dyDescent="0.25">
      <c r="A19" s="1609" t="s">
        <v>220</v>
      </c>
      <c r="B19" s="1610">
        <v>46.150171367824257</v>
      </c>
      <c r="C19" s="1610">
        <v>51.770169241672512</v>
      </c>
      <c r="D19" s="1610">
        <v>50.594701665485388</v>
      </c>
      <c r="E19" s="1166">
        <v>55.407927299787332</v>
      </c>
      <c r="F19" s="1166">
        <v>66.700555124025442</v>
      </c>
      <c r="G19" s="1166">
        <v>77.994126002834776</v>
      </c>
      <c r="H19" s="1619">
        <v>89.656000000000006</v>
      </c>
      <c r="I19" s="1611">
        <f>VLOOKUP(A19,'6.3A'!$U$5:$Y$47,5,0)</f>
        <v>101.06115525159466</v>
      </c>
      <c r="J19" s="1061"/>
    </row>
    <row r="20" spans="1:10" ht="16.5" x14ac:dyDescent="0.25">
      <c r="A20" s="1609" t="s">
        <v>331</v>
      </c>
      <c r="B20" s="1610">
        <v>411.63248038979305</v>
      </c>
      <c r="C20" s="1610">
        <v>445.14513353049642</v>
      </c>
      <c r="D20" s="1610">
        <v>431.85297220263629</v>
      </c>
      <c r="E20" s="1166">
        <v>510.00758768073854</v>
      </c>
      <c r="F20" s="1166">
        <v>611.2101195384962</v>
      </c>
      <c r="G20" s="1166">
        <v>668.1388142277516</v>
      </c>
      <c r="H20" s="1619">
        <v>720.13499999999999</v>
      </c>
      <c r="I20" s="1611">
        <f>VLOOKUP(A20,'6.3A'!$U$5:$Y$47,5,0)</f>
        <v>763.20092316063108</v>
      </c>
      <c r="J20" s="1061"/>
    </row>
    <row r="21" spans="1:10" ht="16.5" x14ac:dyDescent="0.25">
      <c r="A21" s="1609" t="s">
        <v>1492</v>
      </c>
      <c r="B21" s="1610">
        <v>61.213057987243019</v>
      </c>
      <c r="C21" s="1610">
        <v>68.231978958185721</v>
      </c>
      <c r="D21" s="1610">
        <v>62.061340311835551</v>
      </c>
      <c r="E21" s="1166">
        <v>67.548963026222509</v>
      </c>
      <c r="F21" s="1166">
        <v>88.424494734231004</v>
      </c>
      <c r="G21" s="1166">
        <v>75.496237363571936</v>
      </c>
      <c r="H21" s="1619">
        <v>83.287000000000006</v>
      </c>
      <c r="I21" s="1611">
        <f>VLOOKUP(A21,'6.3A'!$U$5:$Y$47,5,0)</f>
        <v>93.525375768958156</v>
      </c>
      <c r="J21" s="1061"/>
    </row>
    <row r="22" spans="1:10" ht="16.5" x14ac:dyDescent="0.25">
      <c r="A22" s="1609" t="s">
        <v>1493</v>
      </c>
      <c r="B22" s="1610">
        <v>93.674978199149507</v>
      </c>
      <c r="C22" s="1610">
        <v>99.764222119064442</v>
      </c>
      <c r="D22" s="1610">
        <v>81.293595527994341</v>
      </c>
      <c r="E22" s="1166">
        <v>95.464599234585194</v>
      </c>
      <c r="F22" s="1166">
        <v>124.59083102055293</v>
      </c>
      <c r="G22" s="1166">
        <v>135.48099498936909</v>
      </c>
      <c r="H22" s="1619">
        <v>146.804</v>
      </c>
      <c r="I22" s="1611">
        <f>VLOOKUP(A22,'6.3A'!$U$5:$Y$47,5,0)</f>
        <v>157.79848700921346</v>
      </c>
      <c r="J22" s="1061"/>
    </row>
    <row r="23" spans="1:10" ht="16.5" x14ac:dyDescent="0.25">
      <c r="A23" s="1609" t="s">
        <v>1494</v>
      </c>
      <c r="B23" s="1610">
        <v>28.204407682494693</v>
      </c>
      <c r="C23" s="1610">
        <v>31.16631799433031</v>
      </c>
      <c r="D23" s="1610">
        <v>26.014504110559876</v>
      </c>
      <c r="E23" s="1166">
        <v>26.014673458540049</v>
      </c>
      <c r="F23" s="1166">
        <v>35.436397590361445</v>
      </c>
      <c r="G23" s="1166">
        <v>42.668937852586772</v>
      </c>
      <c r="H23" s="1619">
        <v>59.28</v>
      </c>
      <c r="I23" s="1611">
        <f>VLOOKUP(A23,'6.3A'!$U$5:$Y$47,5,0)</f>
        <v>75.158556477675532</v>
      </c>
      <c r="J23" s="1061"/>
    </row>
    <row r="24" spans="1:10" ht="16.5" x14ac:dyDescent="0.25">
      <c r="A24" s="1609" t="s">
        <v>1495</v>
      </c>
      <c r="B24" s="1610">
        <v>36.752389617292721</v>
      </c>
      <c r="C24" s="1610">
        <v>39.227048100637816</v>
      </c>
      <c r="D24" s="1610">
        <v>31.893756257973056</v>
      </c>
      <c r="E24" s="1166">
        <v>40.922832969525189</v>
      </c>
      <c r="F24" s="1166">
        <v>51.177673465627144</v>
      </c>
      <c r="G24" s="1166">
        <v>58.463743798724181</v>
      </c>
      <c r="H24" s="1619">
        <v>59.777999999999999</v>
      </c>
      <c r="I24" s="1611">
        <f>VLOOKUP(A24,'6.3A'!$U$5:$Y$47,5,0)</f>
        <v>62.771600701630064</v>
      </c>
      <c r="J24" s="1061"/>
    </row>
    <row r="25" spans="1:10" ht="16.5" x14ac:dyDescent="0.25">
      <c r="A25" s="1609" t="s">
        <v>1496</v>
      </c>
      <c r="B25" s="1610">
        <v>19.695225088589655</v>
      </c>
      <c r="C25" s="1610">
        <v>21.109342530120486</v>
      </c>
      <c r="D25" s="1610">
        <v>15.760660737065919</v>
      </c>
      <c r="E25" s="1166">
        <v>19.438562076541466</v>
      </c>
      <c r="F25" s="1166">
        <v>26.46009243090008</v>
      </c>
      <c r="G25" s="1166">
        <v>28.885647448618016</v>
      </c>
      <c r="H25" s="1619">
        <v>30.495999999999999</v>
      </c>
      <c r="I25" s="1611">
        <f>VLOOKUP(A25,'6.3A'!$U$5:$Y$47,5,0)</f>
        <v>31.452127930545711</v>
      </c>
      <c r="J25" s="1061"/>
    </row>
    <row r="26" spans="1:10" ht="16.5" x14ac:dyDescent="0.25">
      <c r="A26" s="1609" t="s">
        <v>390</v>
      </c>
      <c r="B26" s="1610">
        <v>54.145709085754767</v>
      </c>
      <c r="C26" s="1610">
        <v>57.678406661941892</v>
      </c>
      <c r="D26" s="1610">
        <v>53.735960460666192</v>
      </c>
      <c r="E26" s="1166">
        <v>57.52931166548543</v>
      </c>
      <c r="F26" s="1166">
        <v>64.297365407512316</v>
      </c>
      <c r="G26" s="1166">
        <v>68.136492735648432</v>
      </c>
      <c r="H26" s="1619">
        <v>70.894999999999996</v>
      </c>
      <c r="I26" s="1611">
        <f>VLOOKUP(A26,'6.3A'!$U$5:$Y$47,5,0)</f>
        <v>72.135472324592655</v>
      </c>
      <c r="J26" s="1061"/>
    </row>
    <row r="27" spans="1:10" ht="16.5" x14ac:dyDescent="0.25">
      <c r="A27" s="1612" t="s">
        <v>1522</v>
      </c>
      <c r="B27" s="1614">
        <f t="shared" ref="B27:H27" si="1">SUM(B19:B26)</f>
        <v>751.46841941814159</v>
      </c>
      <c r="C27" s="1614">
        <f t="shared" si="1"/>
        <v>814.09261913644968</v>
      </c>
      <c r="D27" s="1614">
        <f t="shared" si="1"/>
        <v>753.20749127421675</v>
      </c>
      <c r="E27" s="1615">
        <f t="shared" si="1"/>
        <v>872.33445741142566</v>
      </c>
      <c r="F27" s="1615">
        <f t="shared" si="1"/>
        <v>1068.2975293117065</v>
      </c>
      <c r="G27" s="1615">
        <f t="shared" si="1"/>
        <v>1155.2649944191051</v>
      </c>
      <c r="H27" s="1615">
        <f t="shared" si="1"/>
        <v>1260.3310000000001</v>
      </c>
      <c r="I27" s="1616">
        <f>SUM(I19:I26)</f>
        <v>1357.1036986248412</v>
      </c>
      <c r="J27" s="1061"/>
    </row>
    <row r="28" spans="1:10" ht="16.5" x14ac:dyDescent="0.25">
      <c r="A28" s="3475" t="s">
        <v>1524</v>
      </c>
      <c r="B28" s="3476"/>
      <c r="C28" s="3476"/>
      <c r="D28" s="3476"/>
      <c r="E28" s="3476"/>
      <c r="F28" s="3476"/>
      <c r="G28" s="3476"/>
      <c r="H28" s="3476"/>
      <c r="I28" s="3477"/>
      <c r="J28" s="1061"/>
    </row>
    <row r="29" spans="1:10" ht="16.5" x14ac:dyDescent="0.25">
      <c r="A29" s="1609" t="s">
        <v>1490</v>
      </c>
      <c r="B29" s="1610">
        <v>18.059521998582575</v>
      </c>
      <c r="C29" s="1610">
        <v>18.857834968107735</v>
      </c>
      <c r="D29" s="1610">
        <v>13.849680985116953</v>
      </c>
      <c r="E29" s="1166">
        <v>15.65990099220412</v>
      </c>
      <c r="F29" s="1166">
        <v>19.393465960311854</v>
      </c>
      <c r="G29" s="1166">
        <v>20.241336959603149</v>
      </c>
      <c r="H29" s="1619">
        <v>21.786999999999999</v>
      </c>
      <c r="I29" s="1611">
        <f>VLOOKUP(A29,'6.3A'!$U$5:$Y$47,5,0)</f>
        <v>23.91437598157334</v>
      </c>
      <c r="J29" s="1061"/>
    </row>
    <row r="30" spans="1:10" ht="16.5" x14ac:dyDescent="0.25">
      <c r="A30" s="1609" t="s">
        <v>426</v>
      </c>
      <c r="B30" s="1610">
        <v>793.00281371188657</v>
      </c>
      <c r="C30" s="1610">
        <v>852.05159416850302</v>
      </c>
      <c r="D30" s="1610">
        <v>848.94404898350922</v>
      </c>
      <c r="E30" s="1166">
        <v>926.68545335176077</v>
      </c>
      <c r="F30" s="1166">
        <v>1034.2516683687397</v>
      </c>
      <c r="G30" s="1166">
        <v>1081.6997675628236</v>
      </c>
      <c r="H30" s="1619">
        <v>1161.232</v>
      </c>
      <c r="I30" s="1611">
        <f>VLOOKUP(A30,'6.3A'!$U$5:$Y$47,5,0)</f>
        <v>1256.8252457980986</v>
      </c>
      <c r="J30" s="1061"/>
    </row>
    <row r="31" spans="1:10" ht="16.5" x14ac:dyDescent="0.25">
      <c r="A31" s="1609" t="s">
        <v>541</v>
      </c>
      <c r="B31" s="1610">
        <v>487.03462373952271</v>
      </c>
      <c r="C31" s="1610">
        <v>526.45403170003897</v>
      </c>
      <c r="D31" s="1610">
        <v>512.53085341694214</v>
      </c>
      <c r="E31" s="1166">
        <v>574.13622687985855</v>
      </c>
      <c r="F31" s="1166">
        <v>660.33794808126891</v>
      </c>
      <c r="G31" s="1166">
        <v>692.99183477116651</v>
      </c>
      <c r="H31" s="1619">
        <v>756.30499999999995</v>
      </c>
      <c r="I31" s="1611">
        <f>VLOOKUP(A31,'6.3A'!$U$5:$Y$47,5,0)</f>
        <v>821.0047675993618</v>
      </c>
      <c r="J31" s="1061"/>
    </row>
    <row r="32" spans="1:10" ht="16.5" x14ac:dyDescent="0.25">
      <c r="A32" s="1609" t="s">
        <v>631</v>
      </c>
      <c r="B32" s="1610">
        <v>775.89541086925237</v>
      </c>
      <c r="C32" s="1610">
        <v>834.45633911591995</v>
      </c>
      <c r="D32" s="1610">
        <v>782.40126991885882</v>
      </c>
      <c r="E32" s="1166">
        <v>863.88481896556073</v>
      </c>
      <c r="F32" s="1166">
        <v>992.54551465378984</v>
      </c>
      <c r="G32" s="1166">
        <v>1058.6087723420258</v>
      </c>
      <c r="H32" s="1619">
        <v>1156.326</v>
      </c>
      <c r="I32" s="1611">
        <f>VLOOKUP(A32,'6.3A'!$U$5:$Y$47,5,0)</f>
        <v>1244.6960996556134</v>
      </c>
      <c r="J32" s="1061"/>
    </row>
    <row r="33" spans="1:10" ht="16.5" x14ac:dyDescent="0.25">
      <c r="A33" s="1609" t="s">
        <v>225</v>
      </c>
      <c r="B33" s="1610">
        <v>904.12814768933345</v>
      </c>
      <c r="C33" s="1610">
        <v>996.09560128102032</v>
      </c>
      <c r="D33" s="1610">
        <v>997.45813003092474</v>
      </c>
      <c r="E33" s="1166">
        <v>1076.9366208415872</v>
      </c>
      <c r="F33" s="1166">
        <v>1191.0832031734171</v>
      </c>
      <c r="G33" s="1166">
        <v>1259.0867108670163</v>
      </c>
      <c r="H33" s="1619">
        <v>1378.713</v>
      </c>
      <c r="I33" s="1611">
        <f>VLOOKUP(A33,'6.3A'!$U$5:$Y$47,5,0)</f>
        <v>1480.0229848481724</v>
      </c>
      <c r="J33" s="1061"/>
    </row>
    <row r="34" spans="1:10" ht="16.5" x14ac:dyDescent="0.25">
      <c r="A34" s="1612" t="s">
        <v>1522</v>
      </c>
      <c r="B34" s="1614">
        <f t="shared" ref="B34:H34" si="2">SUM(B29:B33)</f>
        <v>2978.1205180085781</v>
      </c>
      <c r="C34" s="1614">
        <f t="shared" si="2"/>
        <v>3227.9154012335898</v>
      </c>
      <c r="D34" s="1614">
        <f t="shared" si="2"/>
        <v>3155.1839833353515</v>
      </c>
      <c r="E34" s="1615">
        <f t="shared" si="2"/>
        <v>3457.3030210309712</v>
      </c>
      <c r="F34" s="1615">
        <f t="shared" si="2"/>
        <v>3897.6118002375274</v>
      </c>
      <c r="G34" s="1615">
        <f t="shared" si="2"/>
        <v>4112.6284225026357</v>
      </c>
      <c r="H34" s="1615">
        <f t="shared" si="2"/>
        <v>4474.3630000000003</v>
      </c>
      <c r="I34" s="1616">
        <f>SUM(I29:I33)</f>
        <v>4826.463473882819</v>
      </c>
      <c r="J34" s="1061"/>
    </row>
    <row r="35" spans="1:10" ht="16.5" x14ac:dyDescent="0.25">
      <c r="A35" s="3475" t="s">
        <v>1526</v>
      </c>
      <c r="B35" s="3476"/>
      <c r="C35" s="3476"/>
      <c r="D35" s="3476"/>
      <c r="E35" s="3476"/>
      <c r="F35" s="3476"/>
      <c r="G35" s="3476"/>
      <c r="H35" s="3476"/>
      <c r="I35" s="3477"/>
      <c r="J35" s="1061"/>
    </row>
    <row r="36" spans="1:10" s="167" customFormat="1" ht="16.5" x14ac:dyDescent="0.25">
      <c r="A36" s="1609" t="s">
        <v>452</v>
      </c>
      <c r="B36" s="1610">
        <v>559.6411142868435</v>
      </c>
      <c r="C36" s="1610">
        <v>613.1378738385614</v>
      </c>
      <c r="D36" s="1610">
        <v>604.32392114260711</v>
      </c>
      <c r="E36" s="1166">
        <v>660.89127610546666</v>
      </c>
      <c r="F36" s="1166">
        <v>743.38240578907573</v>
      </c>
      <c r="G36" s="1166">
        <v>798.14600836503951</v>
      </c>
      <c r="H36" s="1619">
        <v>881.351</v>
      </c>
      <c r="I36" s="1611">
        <f>VLOOKUP(A36,'6.3A'!$U$5:$Y$47,5,0)</f>
        <v>944.51358270075775</v>
      </c>
      <c r="J36" s="1061"/>
    </row>
    <row r="37" spans="1:10" ht="16.5" x14ac:dyDescent="0.25">
      <c r="A37" s="1617" t="s">
        <v>1527</v>
      </c>
      <c r="B37" s="1610">
        <v>42.753075506732813</v>
      </c>
      <c r="C37" s="1610">
        <v>38.932207753366399</v>
      </c>
      <c r="D37" s="1610">
        <v>29.955861275691003</v>
      </c>
      <c r="E37" s="1166">
        <v>38.628234975194921</v>
      </c>
      <c r="F37" s="1166">
        <v>44.163056017009211</v>
      </c>
      <c r="G37" s="1166">
        <v>46.257472019844052</v>
      </c>
      <c r="H37" s="1619">
        <v>47.893999999999998</v>
      </c>
      <c r="I37" s="1611">
        <f>VLOOKUP(A37,'6.3A'!$U$5:$Y$47,5,0)</f>
        <v>50.396691722182858</v>
      </c>
      <c r="J37" s="1061"/>
    </row>
    <row r="38" spans="1:10" ht="16.5" x14ac:dyDescent="0.25">
      <c r="A38" s="1609" t="s">
        <v>466</v>
      </c>
      <c r="B38" s="1610">
        <v>183.55814390503184</v>
      </c>
      <c r="C38" s="1610">
        <v>186.0694730403969</v>
      </c>
      <c r="D38" s="1610">
        <v>145.13644620836288</v>
      </c>
      <c r="E38" s="1166">
        <v>167.04672977321064</v>
      </c>
      <c r="F38" s="1166">
        <v>204.73237438695958</v>
      </c>
      <c r="G38" s="1166">
        <v>216.64187797306829</v>
      </c>
      <c r="H38" s="1166">
        <v>216.64187797306829</v>
      </c>
      <c r="I38" s="1611">
        <f>VLOOKUP(A38,'6.3A'!$U$5:$Y$47,5,0)</f>
        <v>237.42971836995028</v>
      </c>
      <c r="J38" s="1061"/>
    </row>
    <row r="39" spans="1:10" ht="16.5" x14ac:dyDescent="0.25">
      <c r="A39" s="1609" t="s">
        <v>822</v>
      </c>
      <c r="B39" s="1610">
        <v>1976.0033806820957</v>
      </c>
      <c r="C39" s="1610">
        <v>2066.8104448481336</v>
      </c>
      <c r="D39" s="1610">
        <v>1860.1876197097113</v>
      </c>
      <c r="E39" s="1166">
        <v>2134.0270912347833</v>
      </c>
      <c r="F39" s="1166">
        <v>2397.812313465944</v>
      </c>
      <c r="G39" s="1166">
        <v>2546.1026374374915</v>
      </c>
      <c r="H39" s="1619">
        <v>2701.2179999999998</v>
      </c>
      <c r="I39" s="1611">
        <f>VLOOKUP(A39,'6.3A'!$U$5:$Y$47,5,0)</f>
        <v>2890.4057814105722</v>
      </c>
      <c r="J39" s="1061"/>
    </row>
    <row r="40" spans="1:10" ht="16.5" x14ac:dyDescent="0.25">
      <c r="A40" s="1609" t="s">
        <v>578</v>
      </c>
      <c r="B40" s="1610">
        <v>1372.1288278276306</v>
      </c>
      <c r="C40" s="1610">
        <v>1463.6855112064391</v>
      </c>
      <c r="D40" s="1610">
        <v>1461.1265009761901</v>
      </c>
      <c r="E40" s="1166">
        <v>1542.7263234868446</v>
      </c>
      <c r="F40" s="1166">
        <v>1705.2655442478481</v>
      </c>
      <c r="G40" s="1166">
        <v>1825.1269371103294</v>
      </c>
      <c r="H40" s="1619">
        <v>1955.1610000000001</v>
      </c>
      <c r="I40" s="1611">
        <f>VLOOKUP(A40,'6.3A'!$U$5:$Y$47,5,0)</f>
        <v>2072.1750610276022</v>
      </c>
      <c r="J40" s="1061"/>
    </row>
    <row r="41" spans="1:10" ht="16.5" x14ac:dyDescent="0.25">
      <c r="A41" s="1609" t="s">
        <v>606</v>
      </c>
      <c r="B41" s="1610">
        <v>3358.0645431092926</v>
      </c>
      <c r="C41" s="1610">
        <v>3462.0092713647073</v>
      </c>
      <c r="D41" s="1610">
        <v>3014.3832633876282</v>
      </c>
      <c r="E41" s="1166">
        <v>3387.5877918937995</v>
      </c>
      <c r="F41" s="1166">
        <v>3815.2314382648829</v>
      </c>
      <c r="G41" s="1166">
        <v>4068.0261040282126</v>
      </c>
      <c r="H41" s="1619">
        <v>4370.5469999999996</v>
      </c>
      <c r="I41" s="1611">
        <f>VLOOKUP(A41,'6.3A'!$U$5:$Y$47,5,0)</f>
        <v>4645.5134801344357</v>
      </c>
      <c r="J41" s="1061"/>
    </row>
    <row r="42" spans="1:10" ht="16.5" x14ac:dyDescent="0.25">
      <c r="A42" s="1612" t="s">
        <v>1522</v>
      </c>
      <c r="B42" s="1614">
        <f t="shared" ref="B42:H42" si="3">SUM(B36:B41)</f>
        <v>7492.1490853176274</v>
      </c>
      <c r="C42" s="1614">
        <f t="shared" si="3"/>
        <v>7830.644782051605</v>
      </c>
      <c r="D42" s="1614">
        <f t="shared" si="3"/>
        <v>7115.1136127001901</v>
      </c>
      <c r="E42" s="1615">
        <f t="shared" si="3"/>
        <v>7930.9074474692998</v>
      </c>
      <c r="F42" s="1615">
        <f t="shared" si="3"/>
        <v>8910.5871321717204</v>
      </c>
      <c r="G42" s="1615">
        <f t="shared" si="3"/>
        <v>9500.3010369339863</v>
      </c>
      <c r="H42" s="1615">
        <f t="shared" si="3"/>
        <v>10172.812877973069</v>
      </c>
      <c r="I42" s="1616">
        <f>SUM(I36:I41)</f>
        <v>10840.434315365501</v>
      </c>
      <c r="J42" s="1061"/>
    </row>
    <row r="43" spans="1:10" ht="16.5" x14ac:dyDescent="0.25">
      <c r="A43" s="3475" t="s">
        <v>1528</v>
      </c>
      <c r="B43" s="3476"/>
      <c r="C43" s="3476"/>
      <c r="D43" s="3476"/>
      <c r="E43" s="3476"/>
      <c r="F43" s="3476"/>
      <c r="G43" s="3476"/>
      <c r="H43" s="3476"/>
      <c r="I43" s="3477"/>
      <c r="J43" s="1061"/>
    </row>
    <row r="44" spans="1:10" ht="16.5" x14ac:dyDescent="0.25">
      <c r="A44" s="1609" t="s">
        <v>221</v>
      </c>
      <c r="B44" s="1610">
        <v>1161.8943753868441</v>
      </c>
      <c r="C44" s="1610">
        <v>1278.3828914054761</v>
      </c>
      <c r="D44" s="1610">
        <v>1321.8732868183693</v>
      </c>
      <c r="E44" s="1166">
        <v>1419.4126553013527</v>
      </c>
      <c r="F44" s="1166">
        <v>1504.1493269130476</v>
      </c>
      <c r="G44" s="1166">
        <v>1571.4373658268262</v>
      </c>
      <c r="H44" s="1619">
        <v>1627.316</v>
      </c>
      <c r="I44" s="1611">
        <f>VLOOKUP(A44,'6.3A'!$U$5:$Y$47,5,0)</f>
        <v>1711.6925827884538</v>
      </c>
      <c r="J44" s="1061"/>
    </row>
    <row r="45" spans="1:10" ht="16.5" x14ac:dyDescent="0.25">
      <c r="A45" s="1609" t="s">
        <v>550</v>
      </c>
      <c r="B45" s="1610">
        <v>2142.7391867110537</v>
      </c>
      <c r="C45" s="1610">
        <v>2270.4912000850691</v>
      </c>
      <c r="D45" s="1610">
        <v>2123.9180111545693</v>
      </c>
      <c r="E45" s="1166">
        <v>2234.9782705478369</v>
      </c>
      <c r="F45" s="1166">
        <v>2648.1308440589055</v>
      </c>
      <c r="G45" s="1166">
        <v>2899.3637104601212</v>
      </c>
      <c r="H45" s="1619">
        <v>3054.319</v>
      </c>
      <c r="I45" s="1611">
        <f>VLOOKUP(A45,'6.3A'!$U$5:$Y$47,5,0)</f>
        <v>3225.0662547953934</v>
      </c>
      <c r="J45" s="1061"/>
    </row>
    <row r="46" spans="1:10" ht="16.5" x14ac:dyDescent="0.25">
      <c r="A46" s="1609" t="s">
        <v>568</v>
      </c>
      <c r="B46" s="1610">
        <v>1462.5696366548532</v>
      </c>
      <c r="C46" s="1610">
        <v>1558.843462884477</v>
      </c>
      <c r="D46" s="1610">
        <v>1371.1040749539329</v>
      </c>
      <c r="E46" s="1166">
        <v>1495.8174281628255</v>
      </c>
      <c r="F46" s="1166">
        <v>1747.6097568982962</v>
      </c>
      <c r="G46" s="1166">
        <v>1791.4755479872499</v>
      </c>
      <c r="H46" s="1619">
        <v>1879.4179999999999</v>
      </c>
      <c r="I46" s="1611">
        <f>VLOOKUP(A46,'6.3A'!$U$5:$Y$47,5,0)</f>
        <v>1981.6705411977339</v>
      </c>
      <c r="J46" s="1061"/>
    </row>
    <row r="47" spans="1:10" ht="16.5" x14ac:dyDescent="0.25">
      <c r="A47" s="1609" t="s">
        <v>1500</v>
      </c>
      <c r="B47" s="1610"/>
      <c r="C47" s="1610"/>
      <c r="D47" s="1610"/>
      <c r="E47" s="1166">
        <v>5.9650035435861101E-3</v>
      </c>
      <c r="F47" s="1166">
        <v>0.72947900779588937</v>
      </c>
      <c r="G47" s="1166">
        <v>1.2619660028348687</v>
      </c>
      <c r="H47" s="1619">
        <v>1.4890000000000001</v>
      </c>
      <c r="I47" s="1611">
        <f>VLOOKUP(A47,'6.3A'!$U$5:$Y$47,5,0)</f>
        <v>1.1429664776754076</v>
      </c>
      <c r="J47" s="1061"/>
    </row>
    <row r="48" spans="1:10" ht="16.5" x14ac:dyDescent="0.25">
      <c r="A48" s="1609" t="s">
        <v>851</v>
      </c>
      <c r="B48" s="1610">
        <v>132.8510370233877</v>
      </c>
      <c r="C48" s="1610">
        <v>133.7641508646351</v>
      </c>
      <c r="D48" s="1610">
        <v>108.3684770942595</v>
      </c>
      <c r="E48" s="1166">
        <v>128.47161349397589</v>
      </c>
      <c r="F48" s="1166">
        <v>168.34281321048908</v>
      </c>
      <c r="G48" s="1166">
        <v>181.05650163004961</v>
      </c>
      <c r="H48" s="1619">
        <v>192.31800000000001</v>
      </c>
      <c r="I48" s="1611">
        <f>VLOOKUP(A48,'6.3A'!$U$5:$Y$47,5,0)</f>
        <v>207.7859884479094</v>
      </c>
      <c r="J48" s="1061"/>
    </row>
    <row r="49" spans="1:10" ht="16.5" x14ac:dyDescent="0.25">
      <c r="A49" s="1609" t="s">
        <v>224</v>
      </c>
      <c r="B49" s="1610">
        <v>2601.9517079383841</v>
      </c>
      <c r="C49" s="1610">
        <v>2735.4494858299286</v>
      </c>
      <c r="D49" s="1610">
        <v>2580.6456196991417</v>
      </c>
      <c r="E49" s="1166">
        <v>2758.0931619549506</v>
      </c>
      <c r="F49" s="1166">
        <v>3152.8978661176557</v>
      </c>
      <c r="G49" s="1166">
        <v>3352.0430889340018</v>
      </c>
      <c r="H49" s="1619">
        <v>3533.7069999999999</v>
      </c>
      <c r="I49" s="1611">
        <f>VLOOKUP(A49,'6.3A'!$U$5:$Y$47,5,0)</f>
        <v>3795.2236805510047</v>
      </c>
      <c r="J49" s="1061"/>
    </row>
    <row r="50" spans="1:10" ht="16.5" x14ac:dyDescent="0.25">
      <c r="A50" s="1609" t="s">
        <v>691</v>
      </c>
      <c r="B50" s="1610">
        <v>1198.7801550008317</v>
      </c>
      <c r="C50" s="1610">
        <v>1288.2979077576288</v>
      </c>
      <c r="D50" s="1610">
        <v>1199.5298167885635</v>
      </c>
      <c r="E50" s="1166">
        <v>1357.3373878422899</v>
      </c>
      <c r="F50" s="1166">
        <v>1541.4010476091134</v>
      </c>
      <c r="G50" s="1166">
        <v>1675.0950028848615</v>
      </c>
      <c r="H50" s="1619">
        <v>1801.248</v>
      </c>
      <c r="I50" s="1611">
        <f>VLOOKUP(A50,'6.3A'!$U$5:$Y$47,5,0)</f>
        <v>1901.393239953145</v>
      </c>
      <c r="J50" s="1383"/>
    </row>
    <row r="51" spans="1:10" ht="16.5" x14ac:dyDescent="0.25">
      <c r="A51" s="1612" t="s">
        <v>2595</v>
      </c>
      <c r="B51" s="1614">
        <f t="shared" ref="B51:H51" si="4">SUM(B44:B50)</f>
        <v>8700.7860987153545</v>
      </c>
      <c r="C51" s="1614">
        <f t="shared" si="4"/>
        <v>9265.2290988272143</v>
      </c>
      <c r="D51" s="1614">
        <f t="shared" si="4"/>
        <v>8705.4392865088357</v>
      </c>
      <c r="E51" s="1615">
        <f t="shared" si="4"/>
        <v>9394.1164823067757</v>
      </c>
      <c r="F51" s="1615">
        <f t="shared" si="4"/>
        <v>10763.261133815304</v>
      </c>
      <c r="G51" s="1615">
        <f t="shared" si="4"/>
        <v>11471.733183725946</v>
      </c>
      <c r="H51" s="1615">
        <f t="shared" si="4"/>
        <v>12089.814999999999</v>
      </c>
      <c r="I51" s="1616">
        <f>SUM(I44:I50)</f>
        <v>12823.975254211316</v>
      </c>
      <c r="J51" s="1383"/>
    </row>
    <row r="52" spans="1:10" ht="16.5" x14ac:dyDescent="0.25">
      <c r="A52" s="1760" t="s">
        <v>2595</v>
      </c>
      <c r="B52" s="1614"/>
      <c r="C52" s="1614"/>
      <c r="D52" s="1614"/>
      <c r="E52" s="1166">
        <v>0</v>
      </c>
      <c r="F52" s="1166">
        <v>0</v>
      </c>
      <c r="G52" s="1166">
        <v>0</v>
      </c>
      <c r="H52" s="1166">
        <v>0</v>
      </c>
      <c r="I52" s="1761">
        <v>1.8784333333380601E-2</v>
      </c>
      <c r="J52" s="1383"/>
    </row>
    <row r="53" spans="1:10" ht="16.5" x14ac:dyDescent="0.25">
      <c r="A53" s="1618" t="s">
        <v>1531</v>
      </c>
      <c r="B53" s="1614"/>
      <c r="C53" s="1614">
        <f>+C17+C27+C34+C42+C51</f>
        <v>29975.488406248918</v>
      </c>
      <c r="D53" s="1614">
        <f>+D17+D27+D34+D42+D51</f>
        <v>27960.253645450204</v>
      </c>
      <c r="E53" s="1615">
        <f>+E17+E27+E34+E42+E51</f>
        <v>30848.943222147238</v>
      </c>
      <c r="F53" s="1615">
        <f>+F17+F27+F34+F42+F51</f>
        <v>34975.956284401866</v>
      </c>
      <c r="G53" s="1615">
        <f>+G17+G27+G34+G42+G51</f>
        <v>37219.348107172627</v>
      </c>
      <c r="H53" s="1620">
        <v>40004.527000000002</v>
      </c>
      <c r="I53" s="1616">
        <f>'6.3A'!$Y$45+'6.3A'!$Y$47</f>
        <v>42586.180673840237</v>
      </c>
      <c r="J53" s="1383"/>
    </row>
    <row r="54" spans="1:10" ht="16.5" x14ac:dyDescent="0.25">
      <c r="A54" s="1376" t="s">
        <v>2385</v>
      </c>
      <c r="B54" s="1377"/>
      <c r="C54" s="1377"/>
      <c r="D54" s="1377"/>
      <c r="E54" s="1377"/>
      <c r="F54" s="1377"/>
      <c r="G54" s="1377"/>
      <c r="H54" s="1377"/>
      <c r="I54" s="1378"/>
      <c r="J54" s="1383"/>
    </row>
    <row r="55" spans="1:10" ht="16.5" thickBot="1" x14ac:dyDescent="0.3">
      <c r="A55" s="1384" t="s">
        <v>1530</v>
      </c>
      <c r="B55" s="1380"/>
      <c r="C55" s="1380"/>
      <c r="D55" s="1380"/>
      <c r="E55" s="1380"/>
      <c r="F55" s="1380"/>
      <c r="G55" s="1380"/>
      <c r="H55" s="1380"/>
      <c r="I55" s="1381"/>
      <c r="J55" s="1383"/>
    </row>
    <row r="56" spans="1:10" ht="17.25" thickBot="1" x14ac:dyDescent="0.35">
      <c r="A56" s="542"/>
      <c r="B56" s="88"/>
      <c r="C56" s="88"/>
      <c r="D56" s="88"/>
      <c r="E56" s="88"/>
      <c r="F56" s="88"/>
      <c r="G56" s="88"/>
      <c r="H56" s="88"/>
      <c r="I56" s="89"/>
      <c r="J56" s="4"/>
    </row>
    <row r="57" spans="1:10" ht="15.75" x14ac:dyDescent="0.25">
      <c r="B57" s="170"/>
      <c r="C57" s="170"/>
      <c r="D57" s="170"/>
      <c r="E57" s="170"/>
      <c r="F57" s="170"/>
      <c r="G57" s="170"/>
      <c r="H57" s="170"/>
      <c r="I57" s="170"/>
    </row>
    <row r="58" spans="1:10" ht="15.75" x14ac:dyDescent="0.25">
      <c r="A58" s="169"/>
      <c r="B58" s="170"/>
      <c r="C58" s="170"/>
      <c r="D58" s="170"/>
      <c r="E58" s="170"/>
      <c r="F58" s="170"/>
      <c r="G58" s="170"/>
      <c r="H58" s="170"/>
      <c r="I58" s="170"/>
    </row>
    <row r="64" spans="1:10" ht="1.5" customHeight="1" x14ac:dyDescent="0.25"/>
  </sheetData>
  <mergeCells count="8">
    <mergeCell ref="A28:I28"/>
    <mergeCell ref="A35:I35"/>
    <mergeCell ref="A43:I43"/>
    <mergeCell ref="A1:I1"/>
    <mergeCell ref="A3:I3"/>
    <mergeCell ref="A4:I4"/>
    <mergeCell ref="A6:I6"/>
    <mergeCell ref="A18:I18"/>
  </mergeCells>
  <pageMargins left="0.70866141732283472" right="0.70866141732283472" top="0.74803149606299213" bottom="0.74803149606299213" header="0.31496062992125984" footer="0.31496062992125984"/>
  <pageSetup paperSize="9" scale="76" orientation="portrait" r:id="rId1"/>
  <colBreaks count="1" manualBreakCount="1">
    <brk id="9" max="1048575" man="1"/>
  </colBreaks>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24385E-4DDC-4A2E-9A62-E3EEFC502F13}">
  <sheetPr>
    <tabColor theme="0"/>
    <pageSetUpPr fitToPage="1"/>
  </sheetPr>
  <dimension ref="A1:I65"/>
  <sheetViews>
    <sheetView showGridLines="0" view="pageLayout" zoomScale="80" zoomScaleNormal="100" zoomScalePageLayoutView="80" workbookViewId="0">
      <selection activeCell="B81" sqref="B81"/>
    </sheetView>
  </sheetViews>
  <sheetFormatPr defaultColWidth="9.140625" defaultRowHeight="15" x14ac:dyDescent="0.25"/>
  <cols>
    <col min="1" max="1" width="42.140625" style="166" customWidth="1"/>
    <col min="2" max="2" width="11.7109375" style="166" hidden="1" customWidth="1"/>
    <col min="3" max="3" width="12.28515625" style="166" hidden="1" customWidth="1"/>
    <col min="4" max="4" width="14.140625" style="166" hidden="1" customWidth="1"/>
    <col min="5" max="5" width="18.42578125" style="166" bestFit="1" customWidth="1"/>
    <col min="6" max="6" width="19" style="166" bestFit="1" customWidth="1"/>
    <col min="7" max="8" width="14.140625" style="166" customWidth="1"/>
    <col min="9" max="9" width="16.5703125" style="166" customWidth="1"/>
    <col min="10" max="16384" width="9.140625" style="166"/>
  </cols>
  <sheetData>
    <row r="1" spans="1:9" ht="21" thickBot="1" x14ac:dyDescent="0.3">
      <c r="A1" s="3478"/>
      <c r="B1" s="3478"/>
      <c r="C1" s="3478"/>
      <c r="D1" s="3478"/>
      <c r="E1" s="3478"/>
      <c r="F1" s="3478"/>
      <c r="G1" s="3478"/>
      <c r="H1" s="3478"/>
      <c r="I1" s="3478"/>
    </row>
    <row r="2" spans="1:9" ht="17.25" thickBot="1" x14ac:dyDescent="0.3">
      <c r="A2" s="3488" t="s">
        <v>2594</v>
      </c>
      <c r="B2" s="3489"/>
      <c r="C2" s="3489"/>
      <c r="D2" s="3489"/>
      <c r="E2" s="3489"/>
      <c r="F2" s="3489"/>
      <c r="G2" s="3489"/>
      <c r="H2" s="3489"/>
      <c r="I2" s="3490"/>
    </row>
    <row r="3" spans="1:9" ht="16.5" x14ac:dyDescent="0.25">
      <c r="A3" s="3491" t="s">
        <v>1476</v>
      </c>
      <c r="B3" s="3492"/>
      <c r="C3" s="3492"/>
      <c r="D3" s="3492"/>
      <c r="E3" s="3492"/>
      <c r="F3" s="3492"/>
      <c r="G3" s="3492"/>
      <c r="H3" s="3492"/>
      <c r="I3" s="3493"/>
    </row>
    <row r="4" spans="1:9" ht="16.5" x14ac:dyDescent="0.25">
      <c r="A4" s="1098" t="s">
        <v>1519</v>
      </c>
      <c r="B4" s="1099" t="s">
        <v>7</v>
      </c>
      <c r="C4" s="1100" t="s">
        <v>8</v>
      </c>
      <c r="D4" s="1100" t="s">
        <v>9</v>
      </c>
      <c r="E4" s="1100" t="s">
        <v>77</v>
      </c>
      <c r="F4" s="1100" t="s">
        <v>11</v>
      </c>
      <c r="G4" s="1100" t="s">
        <v>382</v>
      </c>
      <c r="H4" s="1100" t="s">
        <v>2309</v>
      </c>
      <c r="I4" s="1101" t="s">
        <v>2479</v>
      </c>
    </row>
    <row r="5" spans="1:9" ht="16.5" x14ac:dyDescent="0.25">
      <c r="A5" s="3482" t="s">
        <v>1520</v>
      </c>
      <c r="B5" s="3483"/>
      <c r="C5" s="3483"/>
      <c r="D5" s="3483"/>
      <c r="E5" s="3483"/>
      <c r="F5" s="3483"/>
      <c r="G5" s="3483"/>
      <c r="H5" s="3483"/>
      <c r="I5" s="3484"/>
    </row>
    <row r="6" spans="1:9" ht="15.75" x14ac:dyDescent="0.25">
      <c r="A6" s="1386" t="s">
        <v>1484</v>
      </c>
      <c r="B6" s="1387">
        <v>192.41706485123984</v>
      </c>
      <c r="C6" s="1387">
        <v>197.68557236363648</v>
      </c>
      <c r="D6" s="1094">
        <v>126.59181819008279</v>
      </c>
      <c r="E6" s="216">
        <v>171.02874368595062</v>
      </c>
      <c r="F6" s="216">
        <v>210.56721212396698</v>
      </c>
      <c r="G6" s="216">
        <v>244.58454009090934</v>
      </c>
      <c r="H6" s="1382">
        <v>257.11111568595044</v>
      </c>
      <c r="I6" s="1358">
        <f>VLOOKUP(A6,'6.3A'!$U$5:$AA$47,7,0)</f>
        <v>258.24057790082645</v>
      </c>
    </row>
    <row r="7" spans="1:9" ht="15.75" x14ac:dyDescent="0.25">
      <c r="A7" s="1072" t="s">
        <v>1485</v>
      </c>
      <c r="B7" s="1094">
        <v>1020.8272976363626</v>
      </c>
      <c r="C7" s="1094">
        <v>835.25969124958669</v>
      </c>
      <c r="D7" s="1094">
        <v>499.19411343140496</v>
      </c>
      <c r="E7" s="216">
        <v>597.46761367768454</v>
      </c>
      <c r="F7" s="216">
        <v>662.02094105785159</v>
      </c>
      <c r="G7" s="216">
        <v>614.19231259503965</v>
      </c>
      <c r="H7" s="1382">
        <v>557.66375771074377</v>
      </c>
      <c r="I7" s="1358">
        <f>VLOOKUP(A7,'6.3A'!$U$5:$AA$47,7,0)</f>
        <v>514.63480716528886</v>
      </c>
    </row>
    <row r="8" spans="1:9" ht="15.75" x14ac:dyDescent="0.25">
      <c r="A8" s="1072" t="s">
        <v>507</v>
      </c>
      <c r="B8" s="1094">
        <v>4847.0260692615302</v>
      </c>
      <c r="C8" s="1094">
        <v>4716.8038553649594</v>
      </c>
      <c r="D8" s="1094">
        <v>4434.8918136523707</v>
      </c>
      <c r="E8" s="216">
        <v>4450.1049729122415</v>
      </c>
      <c r="F8" s="216">
        <v>4205.8920936896066</v>
      </c>
      <c r="G8" s="216">
        <v>4274.5403268883883</v>
      </c>
      <c r="H8" s="1382">
        <v>4285.7614307700987</v>
      </c>
      <c r="I8" s="1358">
        <f>VLOOKUP(A8,'6.3A'!$U$5:$AA$47,7,0)</f>
        <v>4372.3035661427148</v>
      </c>
    </row>
    <row r="9" spans="1:9" ht="15.75" x14ac:dyDescent="0.25">
      <c r="A9" s="1072" t="s">
        <v>538</v>
      </c>
      <c r="B9" s="1094">
        <v>646.24912252892523</v>
      </c>
      <c r="C9" s="1094">
        <v>667.60654557024793</v>
      </c>
      <c r="D9" s="1094">
        <v>609.80538406611572</v>
      </c>
      <c r="E9" s="216">
        <v>776.62699206610978</v>
      </c>
      <c r="F9" s="216">
        <v>1002.787339330578</v>
      </c>
      <c r="G9" s="216">
        <v>795.18265014048768</v>
      </c>
      <c r="H9" s="1382">
        <v>786.97089197851255</v>
      </c>
      <c r="I9" s="1358">
        <f>VLOOKUP(A9,'6.3A'!$U$5:$AA$47,7,0)</f>
        <v>778.39188008264694</v>
      </c>
    </row>
    <row r="10" spans="1:9" ht="15.75" x14ac:dyDescent="0.25">
      <c r="A10" s="1072" t="s">
        <v>1521</v>
      </c>
      <c r="B10" s="1094">
        <v>697.00475834049257</v>
      </c>
      <c r="C10" s="1094">
        <v>675.52464866941773</v>
      </c>
      <c r="D10" s="1094">
        <v>576.00819821487346</v>
      </c>
      <c r="E10" s="216">
        <v>698.50894829586196</v>
      </c>
      <c r="F10" s="216">
        <v>821.69391060578653</v>
      </c>
      <c r="G10" s="216">
        <v>916.16888122148566</v>
      </c>
      <c r="H10" s="1382">
        <v>941.55390564132233</v>
      </c>
      <c r="I10" s="1358">
        <f>VLOOKUP(A10,'6.3A'!$U$5:$AA$47,7,0)</f>
        <v>885.43149461487667</v>
      </c>
    </row>
    <row r="11" spans="1:9" ht="15.75" x14ac:dyDescent="0.25">
      <c r="A11" s="1072" t="s">
        <v>1488</v>
      </c>
      <c r="B11" s="1094"/>
      <c r="C11" s="1094">
        <v>4.964996885123969</v>
      </c>
      <c r="D11" s="1094">
        <v>56.106494033057857</v>
      </c>
      <c r="E11" s="216">
        <v>67.700467365289299</v>
      </c>
      <c r="F11" s="216">
        <v>80.252104024793411</v>
      </c>
      <c r="G11" s="216">
        <v>97.283356198347121</v>
      </c>
      <c r="H11" s="1382">
        <v>103.36331011900826</v>
      </c>
      <c r="I11" s="1358">
        <f>VLOOKUP(A11,'6.3A'!$U$5:$AA$47,7,0)</f>
        <v>102.31399808925619</v>
      </c>
    </row>
    <row r="12" spans="1:9" ht="15.75" x14ac:dyDescent="0.25">
      <c r="A12" s="1072" t="s">
        <v>645</v>
      </c>
      <c r="B12" s="1094">
        <v>3216.7307538274154</v>
      </c>
      <c r="C12" s="1094">
        <v>3213.7358866601212</v>
      </c>
      <c r="D12" s="1094">
        <v>2741.7338674023522</v>
      </c>
      <c r="E12" s="216">
        <v>3112.9692324326124</v>
      </c>
      <c r="F12" s="216">
        <v>3264.8205771715002</v>
      </c>
      <c r="G12" s="216">
        <v>3466.9827002487527</v>
      </c>
      <c r="H12" s="1382">
        <v>3347.1477604109914</v>
      </c>
      <c r="I12" s="1358">
        <f>VLOOKUP(A12,'6.3A'!$U$5:$AA$47,7,0)</f>
        <v>3406.7863012010616</v>
      </c>
    </row>
    <row r="13" spans="1:9" ht="15.75" x14ac:dyDescent="0.25">
      <c r="A13" s="1072" t="s">
        <v>223</v>
      </c>
      <c r="B13" s="1094">
        <v>5440.4377634419707</v>
      </c>
      <c r="C13" s="1094">
        <v>5271.8629175536507</v>
      </c>
      <c r="D13" s="1094">
        <v>4336.7742691128369</v>
      </c>
      <c r="E13" s="216">
        <v>4452.3949639343518</v>
      </c>
      <c r="F13" s="216">
        <v>5073.7744130581959</v>
      </c>
      <c r="G13" s="216">
        <v>5495.0165243852744</v>
      </c>
      <c r="H13" s="1382">
        <v>5814.2028660050692</v>
      </c>
      <c r="I13" s="1358">
        <f>VLOOKUP(A13,'6.3A'!$U$5:$AA$47,7,0)</f>
        <v>6169.8235704746294</v>
      </c>
    </row>
    <row r="14" spans="1:9" ht="15.75" x14ac:dyDescent="0.25">
      <c r="A14" s="1072" t="s">
        <v>709</v>
      </c>
      <c r="B14" s="1094">
        <v>9453.4074026239705</v>
      </c>
      <c r="C14" s="1094">
        <v>9484.9278329845001</v>
      </c>
      <c r="D14" s="1094">
        <v>9384.7537610462205</v>
      </c>
      <c r="E14" s="216">
        <v>9496.2853845702666</v>
      </c>
      <c r="F14" s="216">
        <v>9858.5596279248221</v>
      </c>
      <c r="G14" s="216">
        <v>10307.553718087966</v>
      </c>
      <c r="H14" s="1382">
        <v>10636.321677065458</v>
      </c>
      <c r="I14" s="1358">
        <f>VLOOKUP(A14,'6.3A'!$U$5:$AA$47,7,0)</f>
        <v>10877.575579419057</v>
      </c>
    </row>
    <row r="15" spans="1:9" ht="21" customHeight="1" x14ac:dyDescent="0.25">
      <c r="A15" s="1072" t="s">
        <v>757</v>
      </c>
      <c r="B15" s="1462" t="s">
        <v>2517</v>
      </c>
      <c r="C15" s="1094">
        <v>744.01017470082616</v>
      </c>
      <c r="D15" s="1094">
        <v>657.16082636074077</v>
      </c>
      <c r="E15" s="216">
        <v>699.65344466115164</v>
      </c>
      <c r="F15" s="216">
        <v>779.65254278843031</v>
      </c>
      <c r="G15" s="216">
        <v>815.28679995702225</v>
      </c>
      <c r="H15" s="1382">
        <v>821.74579245289249</v>
      </c>
      <c r="I15" s="1358">
        <f>VLOOKUP(A15,'6.3A'!$U$5:$AA$47,7,0)</f>
        <v>829.85638684297874</v>
      </c>
    </row>
    <row r="16" spans="1:9" ht="16.5" x14ac:dyDescent="0.25">
      <c r="A16" s="1394" t="s">
        <v>1522</v>
      </c>
      <c r="B16" s="1388">
        <f t="shared" ref="B16:H16" si="0">SUM(B6:B15)</f>
        <v>25514.100232511908</v>
      </c>
      <c r="C16" s="1388">
        <f t="shared" si="0"/>
        <v>25812.382122002073</v>
      </c>
      <c r="D16" s="1388">
        <f t="shared" si="0"/>
        <v>23423.020545510059</v>
      </c>
      <c r="E16" s="1389">
        <f t="shared" si="0"/>
        <v>24522.74076360152</v>
      </c>
      <c r="F16" s="1389">
        <f t="shared" si="0"/>
        <v>25960.020761775533</v>
      </c>
      <c r="G16" s="1389">
        <f t="shared" si="0"/>
        <v>27026.791809813672</v>
      </c>
      <c r="H16" s="1389">
        <f t="shared" si="0"/>
        <v>27551.842507840047</v>
      </c>
      <c r="I16" s="1390">
        <f>SUM(I6:I15)</f>
        <v>28195.358161933334</v>
      </c>
    </row>
    <row r="17" spans="1:9" ht="16.5" x14ac:dyDescent="0.25">
      <c r="A17" s="3482" t="s">
        <v>1523</v>
      </c>
      <c r="B17" s="3483"/>
      <c r="C17" s="3483"/>
      <c r="D17" s="3483"/>
      <c r="E17" s="3483"/>
      <c r="F17" s="3483"/>
      <c r="G17" s="3483"/>
      <c r="H17" s="3483"/>
      <c r="I17" s="3484"/>
    </row>
    <row r="18" spans="1:9" ht="15.75" x14ac:dyDescent="0.25">
      <c r="A18" s="1386" t="s">
        <v>220</v>
      </c>
      <c r="B18" s="1387">
        <v>150.10903921487642</v>
      </c>
      <c r="C18" s="1387">
        <v>161.49474468595093</v>
      </c>
      <c r="D18" s="1387">
        <v>174.87377202479382</v>
      </c>
      <c r="E18" s="1391">
        <v>192.45689342148813</v>
      </c>
      <c r="F18" s="1391">
        <v>227.00793342148782</v>
      </c>
      <c r="G18" s="1391">
        <v>244.52512411570328</v>
      </c>
      <c r="H18" s="1392">
        <v>253.05293791735537</v>
      </c>
      <c r="I18" s="1358">
        <f>VLOOKUP(A18,'6.3A'!$U$5:$AA$47,7,0)</f>
        <v>281.62433109917407</v>
      </c>
    </row>
    <row r="19" spans="1:9" ht="15.75" x14ac:dyDescent="0.25">
      <c r="A19" s="1072" t="s">
        <v>331</v>
      </c>
      <c r="B19" s="1094">
        <v>984.56027906032512</v>
      </c>
      <c r="C19" s="1094">
        <v>1023.8010742671939</v>
      </c>
      <c r="D19" s="1094">
        <v>904.01785575708277</v>
      </c>
      <c r="E19" s="216">
        <v>1122.9600647887078</v>
      </c>
      <c r="F19" s="216">
        <v>1327.4996328510354</v>
      </c>
      <c r="G19" s="216">
        <v>1312.1991882472084</v>
      </c>
      <c r="H19" s="1382">
        <v>1277.770723146901</v>
      </c>
      <c r="I19" s="1358">
        <f>VLOOKUP(A19,'6.3A'!$U$5:$AA$47,7,0)</f>
        <v>1280.8300821010932</v>
      </c>
    </row>
    <row r="20" spans="1:9" ht="15.75" x14ac:dyDescent="0.25">
      <c r="A20" s="1072" t="s">
        <v>1492</v>
      </c>
      <c r="B20" s="1094">
        <v>115.79307587603321</v>
      </c>
      <c r="C20" s="1094">
        <v>118.37205656198378</v>
      </c>
      <c r="D20" s="1094">
        <v>108.95600326446288</v>
      </c>
      <c r="E20" s="216">
        <v>119.41824148760338</v>
      </c>
      <c r="F20" s="216">
        <v>149.47153466115708</v>
      </c>
      <c r="G20" s="216">
        <v>103.63155994214894</v>
      </c>
      <c r="H20" s="1382">
        <v>117.95839172727273</v>
      </c>
      <c r="I20" s="1358">
        <f>VLOOKUP(A20,'6.3A'!$U$5:$AA$47,7,0)</f>
        <v>142.48203249586786</v>
      </c>
    </row>
    <row r="21" spans="1:9" ht="15.75" x14ac:dyDescent="0.25">
      <c r="A21" s="1072" t="s">
        <v>1493</v>
      </c>
      <c r="B21" s="1094">
        <v>343.66536482644619</v>
      </c>
      <c r="C21" s="1094">
        <v>355.91591366115699</v>
      </c>
      <c r="D21" s="1094">
        <v>281.05261667768616</v>
      </c>
      <c r="E21" s="216">
        <v>331.13390491735549</v>
      </c>
      <c r="F21" s="216">
        <v>397.36296147933894</v>
      </c>
      <c r="G21" s="216">
        <v>438.39974376859527</v>
      </c>
      <c r="H21" s="1382">
        <v>412.74973736363637</v>
      </c>
      <c r="I21" s="1358">
        <f>VLOOKUP(A21,'6.3A'!$U$5:$AA$47,7,0)</f>
        <v>413.50454822313986</v>
      </c>
    </row>
    <row r="22" spans="1:9" ht="15.75" x14ac:dyDescent="0.25">
      <c r="A22" s="1072" t="s">
        <v>1494</v>
      </c>
      <c r="B22" s="1094">
        <v>72.626668404958735</v>
      </c>
      <c r="C22" s="1094">
        <v>74.869900669421611</v>
      </c>
      <c r="D22" s="1094">
        <v>68.854857371901005</v>
      </c>
      <c r="E22" s="216">
        <v>82.692131652892741</v>
      </c>
      <c r="F22" s="216">
        <v>100.67669346281011</v>
      </c>
      <c r="G22" s="216">
        <v>111.23255142148791</v>
      </c>
      <c r="H22" s="1382">
        <v>119.29690650413224</v>
      </c>
      <c r="I22" s="1358">
        <f>VLOOKUP(A22,'6.3A'!$U$5:$AA$47,7,0)</f>
        <v>121.98314601652903</v>
      </c>
    </row>
    <row r="23" spans="1:9" ht="15.75" x14ac:dyDescent="0.25">
      <c r="A23" s="1072" t="s">
        <v>1495</v>
      </c>
      <c r="B23" s="1094">
        <v>77.493113049586867</v>
      </c>
      <c r="C23" s="1094">
        <v>90.439028727272785</v>
      </c>
      <c r="D23" s="1094">
        <v>88.925040628099168</v>
      </c>
      <c r="E23" s="216">
        <v>101.14626537190094</v>
      </c>
      <c r="F23" s="216">
        <v>109.85943490082651</v>
      </c>
      <c r="G23" s="216">
        <v>121.94331433884295</v>
      </c>
      <c r="H23" s="1382">
        <v>127.24956058677685</v>
      </c>
      <c r="I23" s="1358">
        <f>VLOOKUP(A23,'6.3A'!$U$5:$AA$47,7,0)</f>
        <v>130.00015159504136</v>
      </c>
    </row>
    <row r="24" spans="1:9" ht="15.75" x14ac:dyDescent="0.25">
      <c r="A24" s="1072" t="s">
        <v>1496</v>
      </c>
      <c r="B24" s="1094">
        <v>77.711225975206645</v>
      </c>
      <c r="C24" s="1094">
        <v>77.961919942148825</v>
      </c>
      <c r="D24" s="1094">
        <v>60.352251586776852</v>
      </c>
      <c r="E24" s="216">
        <v>73.566012107438056</v>
      </c>
      <c r="F24" s="216">
        <v>90.754632396694291</v>
      </c>
      <c r="G24" s="216">
        <v>89.881193355371849</v>
      </c>
      <c r="H24" s="1382">
        <v>86.889690867768607</v>
      </c>
      <c r="I24" s="1358">
        <f>VLOOKUP(A24,'6.3A'!$U$5:$AA$47,7,0)</f>
        <v>90.471200743801688</v>
      </c>
    </row>
    <row r="25" spans="1:9" ht="15.75" x14ac:dyDescent="0.25">
      <c r="A25" s="1072" t="s">
        <v>390</v>
      </c>
      <c r="B25" s="1094">
        <v>93.565047537190267</v>
      </c>
      <c r="C25" s="1094">
        <v>86.79161469421507</v>
      </c>
      <c r="D25" s="1094">
        <v>88.65476955371922</v>
      </c>
      <c r="E25" s="216">
        <v>94.700675256198537</v>
      </c>
      <c r="F25" s="216">
        <v>101.3199361570251</v>
      </c>
      <c r="G25" s="216">
        <v>108.89197502479367</v>
      </c>
      <c r="H25" s="1382">
        <v>118.09913203305783</v>
      </c>
      <c r="I25" s="1358">
        <f>VLOOKUP(A25,'6.3A'!$U$5:$AA$47,7,0)</f>
        <v>122.1949084628102</v>
      </c>
    </row>
    <row r="26" spans="1:9" ht="16.5" x14ac:dyDescent="0.25">
      <c r="A26" s="1394" t="s">
        <v>1522</v>
      </c>
      <c r="B26" s="1388">
        <f t="shared" ref="B26:H26" si="1">SUM(B18:B25)</f>
        <v>1915.5238139446235</v>
      </c>
      <c r="C26" s="1388">
        <f t="shared" si="1"/>
        <v>1989.6462532093437</v>
      </c>
      <c r="D26" s="1388">
        <f t="shared" si="1"/>
        <v>1775.6871668645219</v>
      </c>
      <c r="E26" s="1389">
        <f t="shared" si="1"/>
        <v>2118.0741890035852</v>
      </c>
      <c r="F26" s="1389">
        <f t="shared" si="1"/>
        <v>2503.9527593303756</v>
      </c>
      <c r="G26" s="1389">
        <f t="shared" si="1"/>
        <v>2530.7046502141525</v>
      </c>
      <c r="H26" s="1389">
        <f t="shared" si="1"/>
        <v>2513.0670801469009</v>
      </c>
      <c r="I26" s="1390">
        <f>SUM(I18:I25)</f>
        <v>2583.090400737457</v>
      </c>
    </row>
    <row r="27" spans="1:9" ht="16.5" x14ac:dyDescent="0.25">
      <c r="A27" s="3482" t="s">
        <v>1524</v>
      </c>
      <c r="B27" s="3483"/>
      <c r="C27" s="3483"/>
      <c r="D27" s="3483"/>
      <c r="E27" s="3483"/>
      <c r="F27" s="3483"/>
      <c r="G27" s="3483"/>
      <c r="H27" s="3483"/>
      <c r="I27" s="3484"/>
    </row>
    <row r="28" spans="1:9" ht="15.75" x14ac:dyDescent="0.25">
      <c r="A28" s="1386" t="s">
        <v>1490</v>
      </c>
      <c r="B28" s="1387">
        <v>149.24597726446277</v>
      </c>
      <c r="C28" s="1387">
        <v>157.20433171074373</v>
      </c>
      <c r="D28" s="1387">
        <v>132.38972770247943</v>
      </c>
      <c r="E28" s="1391">
        <v>141.87252038016541</v>
      </c>
      <c r="F28" s="1391">
        <v>162.75558423140507</v>
      </c>
      <c r="G28" s="1391">
        <v>160.81572233884302</v>
      </c>
      <c r="H28" s="1392">
        <v>178.71481762809918</v>
      </c>
      <c r="I28" s="1358">
        <f>VLOOKUP(A28,'6.3A'!$U$5:$AA$47,7,0)</f>
        <v>176.43409119834709</v>
      </c>
    </row>
    <row r="29" spans="1:9" ht="15.75" x14ac:dyDescent="0.25">
      <c r="A29" s="1072" t="s">
        <v>426</v>
      </c>
      <c r="B29" s="1094">
        <v>2441.7795646336313</v>
      </c>
      <c r="C29" s="1094">
        <v>2366.744115589895</v>
      </c>
      <c r="D29" s="1094">
        <v>2136.6006210468327</v>
      </c>
      <c r="E29" s="216">
        <v>2055.1456471049269</v>
      </c>
      <c r="F29" s="216">
        <v>2398.4408168395553</v>
      </c>
      <c r="G29" s="216">
        <v>2366.8596460659005</v>
      </c>
      <c r="H29" s="1382">
        <v>2444.9391337525199</v>
      </c>
      <c r="I29" s="1358">
        <f>VLOOKUP(A29,'6.3A'!$U$5:$AA$47,7,0)</f>
        <v>2532.6231842900875</v>
      </c>
    </row>
    <row r="30" spans="1:9" ht="15.75" x14ac:dyDescent="0.25">
      <c r="A30" s="1072" t="s">
        <v>541</v>
      </c>
      <c r="B30" s="1094">
        <v>1901.4052762107185</v>
      </c>
      <c r="C30" s="1094">
        <v>1968.4200166530368</v>
      </c>
      <c r="D30" s="1094">
        <v>1741.5218277883623</v>
      </c>
      <c r="E30" s="216">
        <v>1660.6034061092064</v>
      </c>
      <c r="F30" s="216">
        <v>1754.7628657792036</v>
      </c>
      <c r="G30" s="216">
        <v>1888.5113195399429</v>
      </c>
      <c r="H30" s="1382">
        <v>2020.3529043859257</v>
      </c>
      <c r="I30" s="1358">
        <f>VLOOKUP(A30,'6.3A'!$U$5:$AA$47,7,0)</f>
        <v>2087.4651909006188</v>
      </c>
    </row>
    <row r="31" spans="1:9" ht="15.75" x14ac:dyDescent="0.25">
      <c r="A31" s="1072" t="s">
        <v>631</v>
      </c>
      <c r="B31" s="1094">
        <v>2613.3100388957305</v>
      </c>
      <c r="C31" s="1094">
        <v>2661.7447239520934</v>
      </c>
      <c r="D31" s="1094">
        <v>2534.5064692740534</v>
      </c>
      <c r="E31" s="216">
        <v>2593.6419902820808</v>
      </c>
      <c r="F31" s="216">
        <v>2929.1191136730422</v>
      </c>
      <c r="G31" s="216">
        <v>3286.8037332721333</v>
      </c>
      <c r="H31" s="1382">
        <v>3390.5455694793641</v>
      </c>
      <c r="I31" s="1358">
        <f>VLOOKUP(A31,'6.3A'!$U$5:$AA$47,7,0)</f>
        <v>3448.4690729749127</v>
      </c>
    </row>
    <row r="32" spans="1:9" ht="15.75" x14ac:dyDescent="0.25">
      <c r="A32" s="1072" t="s">
        <v>225</v>
      </c>
      <c r="B32" s="1094">
        <v>3448.6669158865743</v>
      </c>
      <c r="C32" s="1094">
        <v>3438.6504188471531</v>
      </c>
      <c r="D32" s="1094">
        <v>3007.9372524004953</v>
      </c>
      <c r="E32" s="216">
        <v>2962.3104536474079</v>
      </c>
      <c r="F32" s="216">
        <v>3496.8722372718912</v>
      </c>
      <c r="G32" s="216">
        <v>3522.3370887859019</v>
      </c>
      <c r="H32" s="1382">
        <v>3546.4134158551583</v>
      </c>
      <c r="I32" s="1358">
        <f>VLOOKUP(A32,'6.3A'!$U$5:$AA$47,7,0)</f>
        <v>3566.810335941303</v>
      </c>
    </row>
    <row r="33" spans="1:9" ht="16.5" x14ac:dyDescent="0.25">
      <c r="A33" s="1394" t="s">
        <v>1522</v>
      </c>
      <c r="B33" s="1388">
        <f t="shared" ref="B33:H33" si="2">SUM(B28:B32)</f>
        <v>10554.407772891118</v>
      </c>
      <c r="C33" s="1388">
        <f t="shared" si="2"/>
        <v>10592.763606752922</v>
      </c>
      <c r="D33" s="1388">
        <f t="shared" si="2"/>
        <v>9552.9558982122235</v>
      </c>
      <c r="E33" s="1389">
        <f t="shared" si="2"/>
        <v>9413.5740175237879</v>
      </c>
      <c r="F33" s="1389">
        <f t="shared" si="2"/>
        <v>10741.950617795097</v>
      </c>
      <c r="G33" s="1389">
        <f t="shared" si="2"/>
        <v>11225.32751000272</v>
      </c>
      <c r="H33" s="1389">
        <f t="shared" si="2"/>
        <v>11580.965841101068</v>
      </c>
      <c r="I33" s="1390">
        <f>SUM(I28:I32)</f>
        <v>11811.801875305269</v>
      </c>
    </row>
    <row r="34" spans="1:9" ht="16.5" x14ac:dyDescent="0.25">
      <c r="A34" s="3482" t="s">
        <v>1526</v>
      </c>
      <c r="B34" s="3483"/>
      <c r="C34" s="3483"/>
      <c r="D34" s="3483"/>
      <c r="E34" s="3483"/>
      <c r="F34" s="3483"/>
      <c r="G34" s="3483"/>
      <c r="H34" s="3483"/>
      <c r="I34" s="3484"/>
    </row>
    <row r="35" spans="1:9" ht="15.75" x14ac:dyDescent="0.25">
      <c r="A35" s="1386" t="s">
        <v>452</v>
      </c>
      <c r="B35" s="1387">
        <v>1698.7814609592406</v>
      </c>
      <c r="C35" s="1387">
        <v>1648.2349451919713</v>
      </c>
      <c r="D35" s="1387">
        <v>1607.6633127446735</v>
      </c>
      <c r="E35" s="1391">
        <v>1656.8547297676128</v>
      </c>
      <c r="F35" s="1391">
        <v>1930.3168402820554</v>
      </c>
      <c r="G35" s="1391">
        <v>2125.5739803207057</v>
      </c>
      <c r="H35" s="1392">
        <v>2318.1508006233471</v>
      </c>
      <c r="I35" s="1358">
        <f>VLOOKUP(A35,'6.3A'!$U$5:$AA$47,7,0)</f>
        <v>2407.8415376573339</v>
      </c>
    </row>
    <row r="36" spans="1:9" s="167" customFormat="1" ht="31.5" x14ac:dyDescent="0.25">
      <c r="A36" s="1073" t="s">
        <v>1527</v>
      </c>
      <c r="B36" s="1094">
        <v>291.43336123140512</v>
      </c>
      <c r="C36" s="1094">
        <v>234.00768327272749</v>
      </c>
      <c r="D36" s="1094">
        <v>161.73850266942162</v>
      </c>
      <c r="E36" s="216">
        <v>175.28252280165299</v>
      </c>
      <c r="F36" s="216">
        <v>212.73135229752071</v>
      </c>
      <c r="G36" s="216">
        <v>182.64023247933903</v>
      </c>
      <c r="H36" s="1382">
        <v>172.65131101652892</v>
      </c>
      <c r="I36" s="1358">
        <f>VLOOKUP(A36,'6.3A'!$U$5:$AA$47,7,0)</f>
        <v>187.85552049586775</v>
      </c>
    </row>
    <row r="37" spans="1:9" ht="15.75" x14ac:dyDescent="0.25">
      <c r="A37" s="1072" t="s">
        <v>466</v>
      </c>
      <c r="B37" s="1094">
        <v>315.54254024793408</v>
      </c>
      <c r="C37" s="1094">
        <v>305.51135244628108</v>
      </c>
      <c r="D37" s="1094">
        <v>233.41645104132238</v>
      </c>
      <c r="E37" s="216">
        <v>276.36516142975302</v>
      </c>
      <c r="F37" s="216">
        <v>294.0147096942149</v>
      </c>
      <c r="G37" s="216">
        <v>274.03554818099178</v>
      </c>
      <c r="H37" s="1382">
        <v>281.14042514049589</v>
      </c>
      <c r="I37" s="1358">
        <f>VLOOKUP(A37,'6.3A'!$U$5:$AA$47,7,0)</f>
        <v>292.83558100082541</v>
      </c>
    </row>
    <row r="38" spans="1:9" ht="15.75" x14ac:dyDescent="0.25">
      <c r="A38" s="1072" t="s">
        <v>822</v>
      </c>
      <c r="B38" s="1094">
        <v>5429.9119692990826</v>
      </c>
      <c r="C38" s="1094">
        <v>5607.5845277467324</v>
      </c>
      <c r="D38" s="1094">
        <v>5089.8350059576223</v>
      </c>
      <c r="E38" s="216">
        <v>5780.0598779803258</v>
      </c>
      <c r="F38" s="216">
        <v>6927.2625715620525</v>
      </c>
      <c r="G38" s="216">
        <v>7178.6931367743437</v>
      </c>
      <c r="H38" s="1382">
        <v>7318.3921668934472</v>
      </c>
      <c r="I38" s="1358">
        <f>VLOOKUP(A38,'6.3A'!$U$5:$AA$47,7,0)</f>
        <v>7704.4688901557556</v>
      </c>
    </row>
    <row r="39" spans="1:9" ht="15.75" x14ac:dyDescent="0.25">
      <c r="A39" s="1072" t="s">
        <v>578</v>
      </c>
      <c r="B39" s="1094">
        <v>3797.4641253546265</v>
      </c>
      <c r="C39" s="1094">
        <v>3654.9121513378341</v>
      </c>
      <c r="D39" s="1094">
        <v>3368.9478577859577</v>
      </c>
      <c r="E39" s="216">
        <v>3375.0115329370365</v>
      </c>
      <c r="F39" s="216">
        <v>3884.5187716824562</v>
      </c>
      <c r="G39" s="216">
        <v>4163.6665512320733</v>
      </c>
      <c r="H39" s="1382">
        <v>4392.4768173387802</v>
      </c>
      <c r="I39" s="1358">
        <f>VLOOKUP(A39,'6.3A'!$U$5:$AA$47,7,0)</f>
        <v>4624.608396605764</v>
      </c>
    </row>
    <row r="40" spans="1:9" ht="15.75" x14ac:dyDescent="0.25">
      <c r="A40" s="1072" t="s">
        <v>606</v>
      </c>
      <c r="B40" s="1094">
        <v>9291.8164094541171</v>
      </c>
      <c r="C40" s="1094">
        <v>9528.9496227886339</v>
      </c>
      <c r="D40" s="1094">
        <v>8031.1910930354152</v>
      </c>
      <c r="E40" s="216">
        <v>8322.0864975948789</v>
      </c>
      <c r="F40" s="216">
        <v>9291.0439509678217</v>
      </c>
      <c r="G40" s="216">
        <v>9926.7119291161453</v>
      </c>
      <c r="H40" s="1382">
        <v>10450.487194559282</v>
      </c>
      <c r="I40" s="1358">
        <f>VLOOKUP(A40,'6.3A'!$U$5:$AA$47,7,0)</f>
        <v>11256.578928711851</v>
      </c>
    </row>
    <row r="41" spans="1:9" ht="16.5" x14ac:dyDescent="0.25">
      <c r="A41" s="1394" t="s">
        <v>1522</v>
      </c>
      <c r="B41" s="1388">
        <f t="shared" ref="B41:I41" si="3">SUM(B35:B40)</f>
        <v>20824.949866546405</v>
      </c>
      <c r="C41" s="1388">
        <f t="shared" si="3"/>
        <v>20979.200282784179</v>
      </c>
      <c r="D41" s="1388">
        <f t="shared" si="3"/>
        <v>18492.792223234414</v>
      </c>
      <c r="E41" s="1389">
        <f t="shared" si="3"/>
        <v>19585.660322511259</v>
      </c>
      <c r="F41" s="1389">
        <f t="shared" si="3"/>
        <v>22539.888196486121</v>
      </c>
      <c r="G41" s="1389">
        <f t="shared" si="3"/>
        <v>23851.321378103596</v>
      </c>
      <c r="H41" s="1389">
        <f t="shared" si="3"/>
        <v>24933.29871557188</v>
      </c>
      <c r="I41" s="1390">
        <f t="shared" si="3"/>
        <v>26474.188854627399</v>
      </c>
    </row>
    <row r="42" spans="1:9" ht="16.5" x14ac:dyDescent="0.25">
      <c r="A42" s="3482" t="s">
        <v>1528</v>
      </c>
      <c r="B42" s="3483"/>
      <c r="C42" s="3483"/>
      <c r="D42" s="3483"/>
      <c r="E42" s="3483"/>
      <c r="F42" s="3483"/>
      <c r="G42" s="3483"/>
      <c r="H42" s="3483"/>
      <c r="I42" s="3484"/>
    </row>
    <row r="43" spans="1:9" ht="15.75" x14ac:dyDescent="0.25">
      <c r="A43" s="1386" t="s">
        <v>221</v>
      </c>
      <c r="B43" s="1387">
        <v>3947.1596114381273</v>
      </c>
      <c r="C43" s="1387">
        <v>3833.6177179681299</v>
      </c>
      <c r="D43" s="1387">
        <v>3405.4278702229976</v>
      </c>
      <c r="E43" s="1391">
        <v>3432.1969910788298</v>
      </c>
      <c r="F43" s="1391">
        <v>3460.4152664181097</v>
      </c>
      <c r="G43" s="1391">
        <v>3639.5010315018599</v>
      </c>
      <c r="H43" s="1392">
        <v>3512.2317960432401</v>
      </c>
      <c r="I43" s="1358">
        <f>VLOOKUP(A43,'6.3A'!$U$5:$AA$47,7,0)</f>
        <v>3745.029862868405</v>
      </c>
    </row>
    <row r="44" spans="1:9" ht="15.75" x14ac:dyDescent="0.25">
      <c r="A44" s="1072" t="s">
        <v>550</v>
      </c>
      <c r="B44" s="1094">
        <v>6904.5641782886896</v>
      </c>
      <c r="C44" s="1094">
        <v>6601.8454989255124</v>
      </c>
      <c r="D44" s="1094">
        <v>5574.4822991973269</v>
      </c>
      <c r="E44" s="216">
        <v>6203.6089492450592</v>
      </c>
      <c r="F44" s="216">
        <v>8042.0161288155596</v>
      </c>
      <c r="G44" s="216">
        <v>8350.5887287912319</v>
      </c>
      <c r="H44" s="1382">
        <v>8258.8298635034298</v>
      </c>
      <c r="I44" s="1358">
        <f>VLOOKUP(A44,'6.3A'!$U$5:$AA$47,7,0)</f>
        <v>8235.6455993973523</v>
      </c>
    </row>
    <row r="45" spans="1:9" ht="15.75" x14ac:dyDescent="0.25">
      <c r="A45" s="1072" t="s">
        <v>568</v>
      </c>
      <c r="B45" s="1094">
        <v>2575.9538897297612</v>
      </c>
      <c r="C45" s="1094">
        <v>2557.2626300818129</v>
      </c>
      <c r="D45" s="1094">
        <v>1922.6608144694267</v>
      </c>
      <c r="E45" s="216">
        <v>2101.0812838090924</v>
      </c>
      <c r="F45" s="216">
        <v>2485.5664598772828</v>
      </c>
      <c r="G45" s="216">
        <v>2413.2696988124112</v>
      </c>
      <c r="H45" s="1382">
        <v>2419.3431267314054</v>
      </c>
      <c r="I45" s="1358">
        <f>VLOOKUP(A45,'6.3A'!$U$5:$AA$47,7,0)</f>
        <v>2486.9606260099185</v>
      </c>
    </row>
    <row r="46" spans="1:9" ht="15.75" x14ac:dyDescent="0.25">
      <c r="A46" s="1072" t="s">
        <v>1500</v>
      </c>
      <c r="B46" s="1094">
        <v>13.964845000000002</v>
      </c>
      <c r="C46" s="1094">
        <v>15.259492999999996</v>
      </c>
      <c r="D46" s="1094">
        <v>15.982517</v>
      </c>
      <c r="E46" s="216">
        <v>16.066275000000001</v>
      </c>
      <c r="F46" s="216">
        <v>16.273503999999999</v>
      </c>
      <c r="G46" s="216">
        <v>19.087927999999998</v>
      </c>
      <c r="H46" s="216">
        <v>19.087927999999998</v>
      </c>
      <c r="I46" s="1358">
        <f>VLOOKUP(A46,'6.3A'!$U$5:$AA$47,7,0)</f>
        <v>19.70809518181818</v>
      </c>
    </row>
    <row r="47" spans="1:9" ht="15.75" x14ac:dyDescent="0.25">
      <c r="A47" s="1072" t="s">
        <v>851</v>
      </c>
      <c r="B47" s="1094">
        <v>314.15150424793399</v>
      </c>
      <c r="C47" s="1094">
        <v>290.32383659504126</v>
      </c>
      <c r="D47" s="1094">
        <v>210.92321370247939</v>
      </c>
      <c r="E47" s="216">
        <v>300.23355227272737</v>
      </c>
      <c r="F47" s="216">
        <v>553.01008872727243</v>
      </c>
      <c r="G47" s="216">
        <v>572.74706710743772</v>
      </c>
      <c r="H47" s="1382">
        <v>584.28361740495859</v>
      </c>
      <c r="I47" s="1358">
        <f>VLOOKUP(A47,'6.3A'!$U$5:$AA$47,7,0)</f>
        <v>598.93458028429802</v>
      </c>
    </row>
    <row r="48" spans="1:9" ht="15.75" x14ac:dyDescent="0.25">
      <c r="A48" s="1072" t="s">
        <v>224</v>
      </c>
      <c r="B48" s="1094">
        <v>6354.3062468473508</v>
      </c>
      <c r="C48" s="1094">
        <v>6191.2930439421507</v>
      </c>
      <c r="D48" s="1094">
        <v>5006.9390890474988</v>
      </c>
      <c r="E48" s="216">
        <v>5371.1213654554103</v>
      </c>
      <c r="F48" s="216">
        <v>5999.3061183225336</v>
      </c>
      <c r="G48" s="216">
        <v>6287.1780014444485</v>
      </c>
      <c r="H48" s="1382">
        <v>6343.5373549513006</v>
      </c>
      <c r="I48" s="1358">
        <f>VLOOKUP(A48,'6.3A'!$U$5:$AA$47,7,0)</f>
        <v>6777.9683664141403</v>
      </c>
    </row>
    <row r="49" spans="1:9" ht="15.75" x14ac:dyDescent="0.25">
      <c r="A49" s="1072" t="s">
        <v>691</v>
      </c>
      <c r="B49" s="1094">
        <v>3753.3689714324346</v>
      </c>
      <c r="C49" s="1094">
        <v>3621.7557781857654</v>
      </c>
      <c r="D49" s="1094">
        <v>3253.3266272688284</v>
      </c>
      <c r="E49" s="216">
        <v>3555.8366658323866</v>
      </c>
      <c r="F49" s="216">
        <v>3528.8046603747048</v>
      </c>
      <c r="G49" s="216">
        <v>3668.291378944687</v>
      </c>
      <c r="H49" s="1382">
        <v>3646.8731792524254</v>
      </c>
      <c r="I49" s="1358">
        <f>VLOOKUP(A49,'6.3A'!$U$5:$AA$47,7,0)</f>
        <v>3740.6981258735304</v>
      </c>
    </row>
    <row r="50" spans="1:9" ht="16.5" x14ac:dyDescent="0.25">
      <c r="A50" s="1393" t="s">
        <v>1522</v>
      </c>
      <c r="B50" s="1375">
        <f t="shared" ref="B50:H50" si="4">SUM(B43:B49)</f>
        <v>23863.469246984299</v>
      </c>
      <c r="C50" s="1375">
        <f t="shared" si="4"/>
        <v>23111.357998698415</v>
      </c>
      <c r="D50" s="1375">
        <f t="shared" si="4"/>
        <v>19389.742430908558</v>
      </c>
      <c r="E50" s="1129">
        <f t="shared" si="4"/>
        <v>20980.145082693503</v>
      </c>
      <c r="F50" s="1129">
        <f t="shared" si="4"/>
        <v>24085.392226535467</v>
      </c>
      <c r="G50" s="1129">
        <f t="shared" si="4"/>
        <v>24950.663834602077</v>
      </c>
      <c r="H50" s="1129">
        <f t="shared" si="4"/>
        <v>24784.186865886761</v>
      </c>
      <c r="I50" s="1359">
        <f>SUM(I43:I49)</f>
        <v>25604.945256029467</v>
      </c>
    </row>
    <row r="51" spans="1:9" ht="16.5" x14ac:dyDescent="0.25">
      <c r="A51" s="1760" t="s">
        <v>2595</v>
      </c>
      <c r="B51" s="1375"/>
      <c r="C51" s="1375"/>
      <c r="D51" s="1375"/>
      <c r="E51" s="1129">
        <v>38.5</v>
      </c>
      <c r="F51" s="1129">
        <v>67.7</v>
      </c>
      <c r="G51" s="1129">
        <v>41.4</v>
      </c>
      <c r="H51" s="1385">
        <v>41.9</v>
      </c>
      <c r="I51" s="2254">
        <v>38.179949999999998</v>
      </c>
    </row>
    <row r="52" spans="1:9" ht="16.5" x14ac:dyDescent="0.25">
      <c r="A52" s="1395" t="s">
        <v>1531</v>
      </c>
      <c r="B52" s="1375">
        <f>+B16+B26+B33+B41+B50</f>
        <v>82672.450932878361</v>
      </c>
      <c r="C52" s="1375">
        <f>+C16+C26+C33+C41+C50</f>
        <v>82485.350263446933</v>
      </c>
      <c r="D52" s="1375">
        <f>+D16+D26+D33+D41+D50</f>
        <v>72634.19826472977</v>
      </c>
      <c r="E52" s="1129">
        <f>+E16+E26+E33+E41+E50</f>
        <v>76620.194375333653</v>
      </c>
      <c r="F52" s="1129">
        <f>+F16+F26+F33+F41+F50</f>
        <v>85831.204561922597</v>
      </c>
      <c r="G52" s="1129">
        <v>89626.171190735651</v>
      </c>
      <c r="H52" s="1385">
        <v>91407.335042480496</v>
      </c>
      <c r="I52" s="2254">
        <f>'6.3A'!$AA$45+'6.3A'!$AA$47</f>
        <v>94707.564498632943</v>
      </c>
    </row>
    <row r="53" spans="1:9" ht="16.5" thickBot="1" x14ac:dyDescent="0.3">
      <c r="A53" s="3485" t="s">
        <v>2386</v>
      </c>
      <c r="B53" s="3486"/>
      <c r="C53" s="3486"/>
      <c r="D53" s="3486"/>
      <c r="E53" s="3486"/>
      <c r="F53" s="3486"/>
      <c r="G53" s="3486"/>
      <c r="H53" s="3486"/>
      <c r="I53" s="3487"/>
    </row>
    <row r="54" spans="1:9" ht="15.75" x14ac:dyDescent="0.25">
      <c r="A54" s="112"/>
      <c r="B54" s="543"/>
      <c r="C54" s="543"/>
      <c r="D54" s="543"/>
      <c r="E54" s="543"/>
      <c r="F54" s="543"/>
      <c r="G54" s="543"/>
      <c r="H54" s="543"/>
      <c r="I54" s="543"/>
    </row>
    <row r="55" spans="1:9" ht="15.75" x14ac:dyDescent="0.25">
      <c r="A55" s="169"/>
      <c r="B55" s="170"/>
      <c r="C55" s="170"/>
      <c r="D55" s="170"/>
      <c r="E55" s="170"/>
      <c r="F55" s="170"/>
      <c r="G55" s="170"/>
      <c r="H55" s="170"/>
      <c r="I55" s="170"/>
    </row>
    <row r="65" ht="1.5" customHeight="1" x14ac:dyDescent="0.25"/>
  </sheetData>
  <mergeCells count="9">
    <mergeCell ref="A27:I27"/>
    <mergeCell ref="A34:I34"/>
    <mergeCell ref="A42:I42"/>
    <mergeCell ref="A53:I53"/>
    <mergeCell ref="A1:I1"/>
    <mergeCell ref="A2:I2"/>
    <mergeCell ref="A3:I3"/>
    <mergeCell ref="A5:I5"/>
    <mergeCell ref="A17:I17"/>
  </mergeCells>
  <pageMargins left="0.70866141732283472" right="0.70866141732283472" top="0.74803149606299213" bottom="0.74803149606299213" header="0.31496062992125984" footer="0.31496062992125984"/>
  <pageSetup paperSize="9" scale="70" orientation="portrait" r:id="rId1"/>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0FB8F5-119F-4EA3-AFAB-3F101109DBA4}">
  <sheetPr>
    <tabColor theme="0"/>
    <pageSetUpPr fitToPage="1"/>
  </sheetPr>
  <dimension ref="B1:P64"/>
  <sheetViews>
    <sheetView showGridLines="0" view="pageLayout" zoomScale="70" zoomScaleNormal="100" zoomScalePageLayoutView="70" workbookViewId="0">
      <selection activeCell="L48" sqref="L48:P48"/>
    </sheetView>
  </sheetViews>
  <sheetFormatPr defaultColWidth="9.140625" defaultRowHeight="15" x14ac:dyDescent="0.25"/>
  <cols>
    <col min="1" max="1" width="3.140625" style="832" customWidth="1"/>
    <col min="2" max="2" width="29.85546875" style="832" bestFit="1" customWidth="1"/>
    <col min="3" max="3" width="17.28515625" style="833" customWidth="1"/>
    <col min="4" max="4" width="13.140625" style="95" bestFit="1" customWidth="1"/>
    <col min="5" max="5" width="15.42578125" style="95" customWidth="1"/>
    <col min="6" max="6" width="17.140625" style="833" customWidth="1"/>
    <col min="7" max="7" width="12" style="832" customWidth="1"/>
    <col min="8" max="8" width="15.28515625" style="832" customWidth="1"/>
    <col min="9" max="9" width="18.140625" style="832" customWidth="1"/>
    <col min="10" max="10" width="12.140625" style="832" customWidth="1"/>
    <col min="11" max="11" width="15" style="832" customWidth="1"/>
    <col min="12" max="12" width="17.5703125" style="832" bestFit="1" customWidth="1"/>
    <col min="13" max="13" width="14.7109375" style="832" customWidth="1"/>
    <col min="14" max="14" width="16.28515625" style="832" customWidth="1"/>
    <col min="15" max="15" width="19.28515625" style="832" customWidth="1"/>
    <col min="16" max="16" width="15.7109375" style="832" customWidth="1"/>
    <col min="17" max="16384" width="9.140625" style="832"/>
  </cols>
  <sheetData>
    <row r="1" spans="2:16" ht="15.75" thickBot="1" x14ac:dyDescent="0.3"/>
    <row r="2" spans="2:16" ht="20.25" customHeight="1" x14ac:dyDescent="0.25">
      <c r="B2" s="3496" t="s">
        <v>2549</v>
      </c>
      <c r="C2" s="3497"/>
      <c r="D2" s="3497"/>
      <c r="E2" s="3497"/>
      <c r="F2" s="3497"/>
      <c r="G2" s="3497"/>
      <c r="H2" s="3497"/>
      <c r="I2" s="3497"/>
      <c r="J2" s="3497"/>
      <c r="K2" s="3497"/>
      <c r="L2" s="3497"/>
      <c r="M2" s="3497"/>
      <c r="N2" s="3497"/>
      <c r="O2" s="3497"/>
      <c r="P2" s="3498"/>
    </row>
    <row r="3" spans="2:16" ht="16.5" x14ac:dyDescent="0.3">
      <c r="B3" s="3499"/>
      <c r="C3" s="3500"/>
      <c r="D3" s="3500"/>
      <c r="E3" s="3500"/>
      <c r="F3" s="3500"/>
      <c r="G3" s="3500"/>
      <c r="H3" s="3500"/>
      <c r="I3" s="3500"/>
      <c r="J3" s="3500"/>
      <c r="K3" s="3500"/>
      <c r="L3" s="3500"/>
      <c r="M3" s="3500"/>
      <c r="N3" s="90"/>
      <c r="O3" s="90"/>
      <c r="P3" s="1053"/>
    </row>
    <row r="4" spans="2:16" ht="16.5" x14ac:dyDescent="0.25">
      <c r="B4" s="3507" t="s">
        <v>1477</v>
      </c>
      <c r="C4" s="3501" t="s">
        <v>1045</v>
      </c>
      <c r="D4" s="3502"/>
      <c r="E4" s="3502"/>
      <c r="F4" s="3502"/>
      <c r="G4" s="3502"/>
      <c r="H4" s="3503"/>
      <c r="I4" s="3501" t="s">
        <v>1050</v>
      </c>
      <c r="J4" s="3502"/>
      <c r="K4" s="3502"/>
      <c r="L4" s="3502"/>
      <c r="M4" s="3502"/>
      <c r="N4" s="3503"/>
      <c r="O4" s="3504" t="s">
        <v>2281</v>
      </c>
      <c r="P4" s="3505"/>
    </row>
    <row r="5" spans="2:16" ht="15" customHeight="1" x14ac:dyDescent="0.3">
      <c r="B5" s="3508"/>
      <c r="C5" s="2038" t="s">
        <v>1532</v>
      </c>
      <c r="D5" s="2039" t="s">
        <v>1533</v>
      </c>
      <c r="E5" s="3506" t="s">
        <v>2279</v>
      </c>
      <c r="F5" s="2038" t="s">
        <v>1532</v>
      </c>
      <c r="G5" s="2040" t="s">
        <v>1533</v>
      </c>
      <c r="H5" s="3506" t="s">
        <v>2279</v>
      </c>
      <c r="I5" s="2038" t="s">
        <v>1534</v>
      </c>
      <c r="J5" s="2039" t="s">
        <v>1533</v>
      </c>
      <c r="K5" s="3506" t="s">
        <v>2280</v>
      </c>
      <c r="L5" s="2038" t="s">
        <v>1534</v>
      </c>
      <c r="M5" s="2040" t="s">
        <v>1533</v>
      </c>
      <c r="N5" s="3506" t="s">
        <v>2280</v>
      </c>
      <c r="O5" s="3494" t="s">
        <v>2555</v>
      </c>
      <c r="P5" s="3494" t="s">
        <v>2556</v>
      </c>
    </row>
    <row r="6" spans="2:16" ht="48" customHeight="1" x14ac:dyDescent="0.25">
      <c r="B6" s="3509"/>
      <c r="C6" s="2041" t="s">
        <v>2550</v>
      </c>
      <c r="D6" s="2042" t="s">
        <v>2551</v>
      </c>
      <c r="E6" s="3506"/>
      <c r="F6" s="2041" t="s">
        <v>2552</v>
      </c>
      <c r="G6" s="2042" t="s">
        <v>2553</v>
      </c>
      <c r="H6" s="3506"/>
      <c r="I6" s="2041" t="s">
        <v>2550</v>
      </c>
      <c r="J6" s="2042" t="str">
        <f>D6</f>
        <v>01.4.2025</v>
      </c>
      <c r="K6" s="3506"/>
      <c r="L6" s="2041" t="s">
        <v>2554</v>
      </c>
      <c r="M6" s="2042" t="str">
        <f>G6</f>
        <v>01.4.2026</v>
      </c>
      <c r="N6" s="3506"/>
      <c r="O6" s="3495"/>
      <c r="P6" s="3495"/>
    </row>
    <row r="7" spans="2:16" ht="15.75" x14ac:dyDescent="0.25">
      <c r="B7" s="1302" t="s">
        <v>1484</v>
      </c>
      <c r="C7" s="1600">
        <v>129.42466690290578</v>
      </c>
      <c r="D7" s="1600">
        <v>48</v>
      </c>
      <c r="E7" s="1600">
        <f>((C7/D7)/12)*1411</f>
        <v>317.04549479166678</v>
      </c>
      <c r="F7" s="1600">
        <v>138.57027809355074</v>
      </c>
      <c r="G7" s="1600">
        <v>48</v>
      </c>
      <c r="H7" s="1600">
        <f>((F7/G7)/12)*1411</f>
        <v>339.44906664930573</v>
      </c>
      <c r="I7" s="1600">
        <v>257.11111568595049</v>
      </c>
      <c r="J7" s="1600">
        <f>+D7</f>
        <v>48</v>
      </c>
      <c r="K7" s="1600">
        <f>((I7/J7)/12)*1210</f>
        <v>540.11189232638912</v>
      </c>
      <c r="L7" s="1600">
        <v>258.24057790082645</v>
      </c>
      <c r="M7" s="1600">
        <f>+G7</f>
        <v>48</v>
      </c>
      <c r="N7" s="1600">
        <f>((L7/M7)/12)*1210</f>
        <v>542.48454732638891</v>
      </c>
      <c r="O7" s="1601">
        <f>+E7+K7</f>
        <v>857.15738711805591</v>
      </c>
      <c r="P7" s="1602">
        <f>+H7+N7</f>
        <v>881.9336139756947</v>
      </c>
    </row>
    <row r="8" spans="2:16" ht="15.75" x14ac:dyDescent="0.25">
      <c r="B8" s="1302" t="s">
        <v>1485</v>
      </c>
      <c r="C8" s="1600">
        <v>1035.3269715868191</v>
      </c>
      <c r="D8" s="1600">
        <v>404</v>
      </c>
      <c r="E8" s="1600">
        <f t="shared" ref="E8:E48" si="0">((C8/D8)/12)*1411</f>
        <v>301.32969408188978</v>
      </c>
      <c r="F8" s="1600">
        <v>1088.6116323855424</v>
      </c>
      <c r="G8" s="1600">
        <v>401</v>
      </c>
      <c r="H8" s="1600">
        <f t="shared" ref="H8:H48" si="1">((F8/G8)/12)*1411</f>
        <v>319.20844000332505</v>
      </c>
      <c r="I8" s="1600">
        <v>557.66375771074263</v>
      </c>
      <c r="J8" s="1600">
        <f t="shared" ref="J8:J48" si="2">+D8</f>
        <v>404</v>
      </c>
      <c r="K8" s="1600">
        <f t="shared" ref="K8:K48" si="3">((I8/J8)/12)*1210</f>
        <v>139.18588012169937</v>
      </c>
      <c r="L8" s="1600">
        <v>514.63480716528886</v>
      </c>
      <c r="M8" s="1600">
        <f t="shared" ref="M8:M48" si="4">+G8</f>
        <v>401</v>
      </c>
      <c r="N8" s="1600">
        <f t="shared" ref="N8:N47" si="5">((L8/M8)/12)*1210</f>
        <v>129.40733929135487</v>
      </c>
      <c r="O8" s="1601">
        <f t="shared" ref="O8:O47" si="6">+E8+K8</f>
        <v>440.51557420358915</v>
      </c>
      <c r="P8" s="1602">
        <f t="shared" ref="P8:P47" si="7">+H8+N8</f>
        <v>448.6157792946799</v>
      </c>
    </row>
    <row r="9" spans="2:16" ht="15.75" x14ac:dyDescent="0.25">
      <c r="B9" s="1302" t="s">
        <v>507</v>
      </c>
      <c r="C9" s="1600">
        <v>1430.3198613510624</v>
      </c>
      <c r="D9" s="1600">
        <v>4143</v>
      </c>
      <c r="E9" s="1600">
        <f t="shared" si="0"/>
        <v>40.594201552143154</v>
      </c>
      <c r="F9" s="1600">
        <v>1528.4504665277359</v>
      </c>
      <c r="G9" s="1600">
        <v>4409</v>
      </c>
      <c r="H9" s="1600">
        <f t="shared" si="1"/>
        <v>40.762145767570793</v>
      </c>
      <c r="I9" s="1600">
        <v>4285.7614307701187</v>
      </c>
      <c r="J9" s="1600">
        <f t="shared" si="2"/>
        <v>4143</v>
      </c>
      <c r="K9" s="1600">
        <f t="shared" si="3"/>
        <v>104.30789547091165</v>
      </c>
      <c r="L9" s="1600">
        <v>4372.3035661427148</v>
      </c>
      <c r="M9" s="1600">
        <f t="shared" si="4"/>
        <v>4409</v>
      </c>
      <c r="N9" s="1600">
        <f t="shared" si="5"/>
        <v>99.994090024810703</v>
      </c>
      <c r="O9" s="1601">
        <f t="shared" si="6"/>
        <v>144.90209702305481</v>
      </c>
      <c r="P9" s="1602">
        <f t="shared" si="7"/>
        <v>140.75623579238149</v>
      </c>
    </row>
    <row r="10" spans="2:16" ht="15.75" x14ac:dyDescent="0.25">
      <c r="B10" s="1302" t="s">
        <v>538</v>
      </c>
      <c r="C10" s="1600">
        <v>356.86394956059553</v>
      </c>
      <c r="D10" s="1600">
        <v>815</v>
      </c>
      <c r="E10" s="1600">
        <f t="shared" si="0"/>
        <v>51.486199675869152</v>
      </c>
      <c r="F10" s="1600">
        <v>380.23607686747033</v>
      </c>
      <c r="G10" s="1600">
        <v>886</v>
      </c>
      <c r="H10" s="1600">
        <f t="shared" si="1"/>
        <v>50.462105385628355</v>
      </c>
      <c r="I10" s="1600">
        <v>786.97089197850744</v>
      </c>
      <c r="J10" s="1600">
        <f t="shared" si="2"/>
        <v>815</v>
      </c>
      <c r="K10" s="1600">
        <f t="shared" si="3"/>
        <v>97.365519355214104</v>
      </c>
      <c r="L10" s="1600">
        <v>778.39188008264694</v>
      </c>
      <c r="M10" s="1600">
        <f t="shared" si="4"/>
        <v>886</v>
      </c>
      <c r="N10" s="1600">
        <f t="shared" si="5"/>
        <v>88.586735788186871</v>
      </c>
      <c r="O10" s="1601">
        <f t="shared" si="6"/>
        <v>148.85171903108326</v>
      </c>
      <c r="P10" s="1602">
        <f t="shared" si="7"/>
        <v>139.04884117381522</v>
      </c>
    </row>
    <row r="11" spans="2:16" ht="15.75" x14ac:dyDescent="0.25">
      <c r="B11" s="1302" t="s">
        <v>1521</v>
      </c>
      <c r="C11" s="1600">
        <v>412.93070134656256</v>
      </c>
      <c r="D11" s="1600">
        <v>749</v>
      </c>
      <c r="E11" s="1600">
        <f t="shared" si="0"/>
        <v>64.824790787716935</v>
      </c>
      <c r="F11" s="1600">
        <v>431.8371908221103</v>
      </c>
      <c r="G11" s="1600">
        <v>818</v>
      </c>
      <c r="H11" s="1600">
        <f t="shared" si="1"/>
        <v>62.074396520985914</v>
      </c>
      <c r="I11" s="1600">
        <v>941.55390564132108</v>
      </c>
      <c r="J11" s="1600">
        <f t="shared" si="2"/>
        <v>749</v>
      </c>
      <c r="K11" s="1600">
        <f t="shared" si="3"/>
        <v>126.75569935758772</v>
      </c>
      <c r="L11" s="1600">
        <v>885.43149461487667</v>
      </c>
      <c r="M11" s="1600">
        <f t="shared" si="4"/>
        <v>818</v>
      </c>
      <c r="N11" s="1600">
        <f t="shared" si="5"/>
        <v>109.14548782436844</v>
      </c>
      <c r="O11" s="1601">
        <f t="shared" si="6"/>
        <v>191.58049014530465</v>
      </c>
      <c r="P11" s="1602">
        <f t="shared" si="7"/>
        <v>171.21988434535436</v>
      </c>
    </row>
    <row r="12" spans="2:16" ht="15.75" x14ac:dyDescent="0.25">
      <c r="B12" s="1302" t="s">
        <v>1488</v>
      </c>
      <c r="C12" s="1600">
        <v>22.359832544294825</v>
      </c>
      <c r="D12" s="1600">
        <v>37</v>
      </c>
      <c r="E12" s="1600">
        <f t="shared" si="0"/>
        <v>71.057936306306303</v>
      </c>
      <c r="F12" s="1600">
        <v>23.65633183557761</v>
      </c>
      <c r="G12" s="1600">
        <v>41</v>
      </c>
      <c r="H12" s="1600">
        <f t="shared" si="1"/>
        <v>67.843667113821155</v>
      </c>
      <c r="I12" s="1600">
        <v>103.3633101190083</v>
      </c>
      <c r="J12" s="1600">
        <f t="shared" si="2"/>
        <v>37</v>
      </c>
      <c r="K12" s="1600">
        <f t="shared" si="3"/>
        <v>281.68830009909919</v>
      </c>
      <c r="L12" s="1600">
        <v>102.31399808925619</v>
      </c>
      <c r="M12" s="1600">
        <f t="shared" si="4"/>
        <v>41</v>
      </c>
      <c r="N12" s="1600">
        <f t="shared" si="5"/>
        <v>251.62588960975606</v>
      </c>
      <c r="O12" s="1601">
        <f t="shared" si="6"/>
        <v>352.74623640540551</v>
      </c>
      <c r="P12" s="1602">
        <f t="shared" si="7"/>
        <v>319.46955672357723</v>
      </c>
    </row>
    <row r="13" spans="2:16" ht="15.75" x14ac:dyDescent="0.25">
      <c r="B13" s="1302" t="s">
        <v>645</v>
      </c>
      <c r="C13" s="1600">
        <v>1252.425758860154</v>
      </c>
      <c r="D13" s="1600">
        <v>4185</v>
      </c>
      <c r="E13" s="1600">
        <f t="shared" si="0"/>
        <v>35.188624965186726</v>
      </c>
      <c r="F13" s="1600">
        <v>1302.2900725494044</v>
      </c>
      <c r="G13" s="1600">
        <v>4319</v>
      </c>
      <c r="H13" s="1600">
        <f t="shared" si="1"/>
        <v>35.454412525415023</v>
      </c>
      <c r="I13" s="1600">
        <v>3347.1477604109878</v>
      </c>
      <c r="J13" s="1600">
        <f t="shared" si="2"/>
        <v>4185</v>
      </c>
      <c r="K13" s="1600">
        <f t="shared" si="3"/>
        <v>80.64613281754869</v>
      </c>
      <c r="L13" s="1600">
        <v>3406.7863012010616</v>
      </c>
      <c r="M13" s="1600">
        <f t="shared" si="4"/>
        <v>4319</v>
      </c>
      <c r="N13" s="1600">
        <f t="shared" si="5"/>
        <v>79.536378491419399</v>
      </c>
      <c r="O13" s="1601">
        <f t="shared" si="6"/>
        <v>115.83475778273541</v>
      </c>
      <c r="P13" s="1602">
        <f t="shared" si="7"/>
        <v>114.99079101683442</v>
      </c>
    </row>
    <row r="14" spans="2:16" ht="15.75" x14ac:dyDescent="0.25">
      <c r="B14" s="1302" t="s">
        <v>223</v>
      </c>
      <c r="C14" s="1600">
        <v>2035.6782995925257</v>
      </c>
      <c r="D14" s="1600">
        <v>7033</v>
      </c>
      <c r="E14" s="1600">
        <f t="shared" si="0"/>
        <v>34.034102098737542</v>
      </c>
      <c r="F14" s="1600">
        <v>2160.0572248659828</v>
      </c>
      <c r="G14" s="1600">
        <v>7453</v>
      </c>
      <c r="H14" s="1600">
        <f t="shared" si="1"/>
        <v>34.078455479738608</v>
      </c>
      <c r="I14" s="1600">
        <v>5814.2028660050928</v>
      </c>
      <c r="J14" s="1600">
        <f t="shared" si="2"/>
        <v>7033</v>
      </c>
      <c r="K14" s="1600">
        <f t="shared" si="3"/>
        <v>83.359228729633671</v>
      </c>
      <c r="L14" s="1600">
        <v>6169.8235704746294</v>
      </c>
      <c r="M14" s="1600">
        <f t="shared" si="4"/>
        <v>7453</v>
      </c>
      <c r="N14" s="1600">
        <f t="shared" si="5"/>
        <v>83.472947362072333</v>
      </c>
      <c r="O14" s="1601">
        <f t="shared" si="6"/>
        <v>117.39333082837121</v>
      </c>
      <c r="P14" s="1602">
        <f t="shared" si="7"/>
        <v>117.55140284181094</v>
      </c>
    </row>
    <row r="15" spans="2:16" ht="18" customHeight="1" x14ac:dyDescent="0.25">
      <c r="B15" s="1461" t="s">
        <v>709</v>
      </c>
      <c r="C15" s="1600">
        <v>4832.7906053377656</v>
      </c>
      <c r="D15" s="1600">
        <v>12393</v>
      </c>
      <c r="E15" s="1600">
        <f t="shared" si="0"/>
        <v>45.852951559560417</v>
      </c>
      <c r="F15" s="1600">
        <v>5157.8417251192777</v>
      </c>
      <c r="G15" s="1600">
        <v>13317</v>
      </c>
      <c r="H15" s="1600">
        <f t="shared" si="1"/>
        <v>45.541505057090568</v>
      </c>
      <c r="I15" s="1600">
        <v>10636.3216770656</v>
      </c>
      <c r="J15" s="1600">
        <f t="shared" si="2"/>
        <v>12393</v>
      </c>
      <c r="K15" s="1600">
        <f t="shared" si="3"/>
        <v>86.540447761164742</v>
      </c>
      <c r="L15" s="1600">
        <v>10877.575579419057</v>
      </c>
      <c r="M15" s="1600">
        <f t="shared" si="4"/>
        <v>13317</v>
      </c>
      <c r="N15" s="1600">
        <f t="shared" si="5"/>
        <v>82.362559454688622</v>
      </c>
      <c r="O15" s="1601">
        <f t="shared" si="6"/>
        <v>132.39339932072517</v>
      </c>
      <c r="P15" s="1602">
        <f t="shared" si="7"/>
        <v>127.90406451177918</v>
      </c>
    </row>
    <row r="16" spans="2:16" ht="15.75" x14ac:dyDescent="0.25">
      <c r="B16" s="1302" t="s">
        <v>757</v>
      </c>
      <c r="C16" s="1600">
        <v>488.61139742026921</v>
      </c>
      <c r="D16" s="1600">
        <v>918</v>
      </c>
      <c r="E16" s="1600">
        <f t="shared" si="0"/>
        <v>62.58448454611473</v>
      </c>
      <c r="F16" s="1600">
        <v>526.63414835577566</v>
      </c>
      <c r="G16" s="1600">
        <v>974</v>
      </c>
      <c r="H16" s="1600">
        <f t="shared" si="1"/>
        <v>63.576384610711784</v>
      </c>
      <c r="I16" s="1600">
        <v>821.74579245288726</v>
      </c>
      <c r="J16" s="1600">
        <f t="shared" si="2"/>
        <v>918</v>
      </c>
      <c r="K16" s="1600">
        <f t="shared" si="3"/>
        <v>90.260748807915178</v>
      </c>
      <c r="L16" s="1600">
        <v>829.85638684297874</v>
      </c>
      <c r="M16" s="1600">
        <f t="shared" si="4"/>
        <v>974</v>
      </c>
      <c r="N16" s="1600">
        <f t="shared" si="5"/>
        <v>85.910868247775852</v>
      </c>
      <c r="O16" s="1601">
        <f t="shared" si="6"/>
        <v>152.84523335402992</v>
      </c>
      <c r="P16" s="1602">
        <f t="shared" si="7"/>
        <v>149.48725285848764</v>
      </c>
    </row>
    <row r="17" spans="2:16" ht="16.5" x14ac:dyDescent="0.3">
      <c r="B17" s="1396" t="s">
        <v>1489</v>
      </c>
      <c r="C17" s="1603">
        <f>SUM(C7:C16)</f>
        <v>11996.732044502956</v>
      </c>
      <c r="D17" s="1603">
        <f>SUM(D7:D16)</f>
        <v>30725</v>
      </c>
      <c r="E17" s="1603">
        <f t="shared" si="0"/>
        <v>45.91100871926681</v>
      </c>
      <c r="F17" s="1603">
        <f>SUM(F7:F16)</f>
        <v>12738.185147422428</v>
      </c>
      <c r="G17" s="1603">
        <f>SUM(G7:G16)</f>
        <v>32666</v>
      </c>
      <c r="H17" s="1603">
        <f t="shared" si="1"/>
        <v>45.851903209792667</v>
      </c>
      <c r="I17" s="1603">
        <f>SUM(I7:I16)</f>
        <v>27551.842507840214</v>
      </c>
      <c r="J17" s="1603">
        <f t="shared" si="2"/>
        <v>30725</v>
      </c>
      <c r="K17" s="1603">
        <f>((I17/J17)/12)*1210</f>
        <v>90.419662149407799</v>
      </c>
      <c r="L17" s="1603">
        <f>SUM(L7:L16)</f>
        <v>28195.358161933334</v>
      </c>
      <c r="M17" s="1603">
        <f t="shared" si="4"/>
        <v>32666</v>
      </c>
      <c r="N17" s="1603">
        <f t="shared" si="5"/>
        <v>87.033366435894962</v>
      </c>
      <c r="O17" s="1604">
        <f t="shared" si="6"/>
        <v>136.33067086867462</v>
      </c>
      <c r="P17" s="1605">
        <f t="shared" si="7"/>
        <v>132.88526964568763</v>
      </c>
    </row>
    <row r="18" spans="2:16" ht="15.75" x14ac:dyDescent="0.25">
      <c r="B18" s="1302" t="s">
        <v>1490</v>
      </c>
      <c r="C18" s="1600">
        <v>21.786762898653414</v>
      </c>
      <c r="D18" s="1600">
        <v>20</v>
      </c>
      <c r="E18" s="1600">
        <f t="shared" si="0"/>
        <v>128.08801020833317</v>
      </c>
      <c r="F18" s="1600">
        <v>23.91437598157334</v>
      </c>
      <c r="G18" s="1600">
        <v>23</v>
      </c>
      <c r="H18" s="1600">
        <f t="shared" si="1"/>
        <v>122.25791489130428</v>
      </c>
      <c r="I18" s="1600">
        <v>178.7148176280991</v>
      </c>
      <c r="J18" s="1600">
        <f t="shared" si="2"/>
        <v>20</v>
      </c>
      <c r="K18" s="1600">
        <f>((I18/J18)/12)*1210</f>
        <v>901.02053887499972</v>
      </c>
      <c r="L18" s="1600">
        <v>176.43409119834709</v>
      </c>
      <c r="M18" s="1600">
        <f t="shared" si="4"/>
        <v>23</v>
      </c>
      <c r="N18" s="1600">
        <f t="shared" si="5"/>
        <v>773.49728387681148</v>
      </c>
      <c r="O18" s="1601">
        <f t="shared" si="6"/>
        <v>1029.1085490833329</v>
      </c>
      <c r="P18" s="1602">
        <f t="shared" si="7"/>
        <v>895.75519876811575</v>
      </c>
    </row>
    <row r="19" spans="2:16" ht="15.75" x14ac:dyDescent="0.25">
      <c r="B19" s="1302" t="s">
        <v>426</v>
      </c>
      <c r="C19" s="1600">
        <v>1161.2320512448903</v>
      </c>
      <c r="D19" s="1600">
        <v>3767</v>
      </c>
      <c r="E19" s="1600">
        <f t="shared" si="0"/>
        <v>36.246757461873734</v>
      </c>
      <c r="F19" s="1600">
        <v>1256.8252457980986</v>
      </c>
      <c r="G19" s="1600">
        <v>3991</v>
      </c>
      <c r="H19" s="1600">
        <f t="shared" si="1"/>
        <v>37.028740119876332</v>
      </c>
      <c r="I19" s="1600">
        <v>2444.939133752524</v>
      </c>
      <c r="J19" s="1600">
        <f t="shared" si="2"/>
        <v>3767</v>
      </c>
      <c r="K19" s="1600">
        <f t="shared" si="3"/>
        <v>65.445012650220207</v>
      </c>
      <c r="L19" s="1600">
        <v>2532.6231842900875</v>
      </c>
      <c r="M19" s="1600">
        <f t="shared" si="4"/>
        <v>3991</v>
      </c>
      <c r="N19" s="1600">
        <f t="shared" si="5"/>
        <v>63.987180593648326</v>
      </c>
      <c r="O19" s="1601">
        <f t="shared" si="6"/>
        <v>101.69177011209393</v>
      </c>
      <c r="P19" s="1602">
        <f t="shared" si="7"/>
        <v>101.01592071352465</v>
      </c>
    </row>
    <row r="20" spans="2:16" ht="15.75" x14ac:dyDescent="0.25">
      <c r="B20" s="1302" t="s">
        <v>541</v>
      </c>
      <c r="C20" s="1600">
        <v>756.30536974292284</v>
      </c>
      <c r="D20" s="1600">
        <v>1897</v>
      </c>
      <c r="E20" s="1600">
        <f t="shared" si="0"/>
        <v>46.878706585277804</v>
      </c>
      <c r="F20" s="1600">
        <v>821.0047675993618</v>
      </c>
      <c r="G20" s="1600">
        <v>2008</v>
      </c>
      <c r="H20" s="1600">
        <f t="shared" si="1"/>
        <v>48.075934888890252</v>
      </c>
      <c r="I20" s="1600">
        <v>2020.3529043859264</v>
      </c>
      <c r="J20" s="1600">
        <f t="shared" si="2"/>
        <v>1897</v>
      </c>
      <c r="K20" s="1600">
        <f t="shared" si="3"/>
        <v>107.39004631466223</v>
      </c>
      <c r="L20" s="1600">
        <v>2087.4651909006188</v>
      </c>
      <c r="M20" s="1600">
        <f t="shared" si="4"/>
        <v>2008</v>
      </c>
      <c r="N20" s="1600">
        <f t="shared" si="5"/>
        <v>104.82374174094241</v>
      </c>
      <c r="O20" s="1601">
        <f t="shared" si="6"/>
        <v>154.26875289994004</v>
      </c>
      <c r="P20" s="1602">
        <f t="shared" si="7"/>
        <v>152.89967662983267</v>
      </c>
    </row>
    <row r="21" spans="2:16" ht="15.75" x14ac:dyDescent="0.25">
      <c r="B21" s="1302" t="s">
        <v>631</v>
      </c>
      <c r="C21" s="1600">
        <v>1156.3264077692422</v>
      </c>
      <c r="D21" s="1600">
        <v>2648</v>
      </c>
      <c r="E21" s="1600">
        <f t="shared" si="0"/>
        <v>51.346190878726105</v>
      </c>
      <c r="F21" s="1600">
        <v>1244.6960996556134</v>
      </c>
      <c r="G21" s="1600">
        <v>2870</v>
      </c>
      <c r="H21" s="1600">
        <f t="shared" si="1"/>
        <v>50.994953444078696</v>
      </c>
      <c r="I21" s="1600">
        <v>3390.5455694793827</v>
      </c>
      <c r="J21" s="1600">
        <f t="shared" si="2"/>
        <v>2648</v>
      </c>
      <c r="K21" s="1600">
        <f t="shared" si="3"/>
        <v>129.10876570588033</v>
      </c>
      <c r="L21" s="1600">
        <v>3448.4690729749127</v>
      </c>
      <c r="M21" s="1600">
        <f t="shared" si="4"/>
        <v>2870</v>
      </c>
      <c r="N21" s="1600">
        <f t="shared" si="5"/>
        <v>121.15701446863078</v>
      </c>
      <c r="O21" s="1601">
        <f t="shared" si="6"/>
        <v>180.45495658460644</v>
      </c>
      <c r="P21" s="1602">
        <f t="shared" si="7"/>
        <v>172.15196791270947</v>
      </c>
    </row>
    <row r="22" spans="2:16" ht="15.75" x14ac:dyDescent="0.25">
      <c r="B22" s="1302" t="s">
        <v>225</v>
      </c>
      <c r="C22" s="1600">
        <v>1378.713266074833</v>
      </c>
      <c r="D22" s="1600">
        <v>3307</v>
      </c>
      <c r="E22" s="1600">
        <f t="shared" si="0"/>
        <v>49.021379357715681</v>
      </c>
      <c r="F22" s="1600">
        <v>1480.0229848481724</v>
      </c>
      <c r="G22" s="1600">
        <v>3522</v>
      </c>
      <c r="H22" s="1600">
        <f t="shared" si="1"/>
        <v>49.411140252242362</v>
      </c>
      <c r="I22" s="1600">
        <v>3546.4134158551465</v>
      </c>
      <c r="J22" s="1600">
        <f t="shared" si="2"/>
        <v>3307</v>
      </c>
      <c r="K22" s="1600">
        <f t="shared" si="3"/>
        <v>108.13325857233966</v>
      </c>
      <c r="L22" s="1600">
        <v>3566.810335941303</v>
      </c>
      <c r="M22" s="1600">
        <f t="shared" si="4"/>
        <v>3522</v>
      </c>
      <c r="N22" s="1600">
        <f t="shared" si="5"/>
        <v>102.1162338275832</v>
      </c>
      <c r="O22" s="1601">
        <f t="shared" si="6"/>
        <v>157.15463793005534</v>
      </c>
      <c r="P22" s="1602">
        <f t="shared" si="7"/>
        <v>151.52737407982556</v>
      </c>
    </row>
    <row r="23" spans="2:16" ht="16.5" x14ac:dyDescent="0.3">
      <c r="B23" s="1396" t="s">
        <v>1491</v>
      </c>
      <c r="C23" s="1603">
        <f>SUM(C18:C22)</f>
        <v>4474.3638577305419</v>
      </c>
      <c r="D23" s="1603">
        <f>SUM(D18:D22)</f>
        <v>11639</v>
      </c>
      <c r="E23" s="1603">
        <f t="shared" si="0"/>
        <v>45.202389976643147</v>
      </c>
      <c r="F23" s="1603">
        <f>SUM(F18:F22)</f>
        <v>4826.463473882819</v>
      </c>
      <c r="G23" s="1603">
        <f>SUM(G18:G22)</f>
        <v>12414</v>
      </c>
      <c r="H23" s="1603">
        <f t="shared" si="1"/>
        <v>45.715455410884609</v>
      </c>
      <c r="I23" s="1603">
        <f>SUM(I18:I22)</f>
        <v>11580.965841101079</v>
      </c>
      <c r="J23" s="1603">
        <f t="shared" si="2"/>
        <v>11639</v>
      </c>
      <c r="K23" s="1603">
        <f t="shared" si="3"/>
        <v>100.33056009774828</v>
      </c>
      <c r="L23" s="1603">
        <f>SUM(L18:L22)</f>
        <v>11811.801875305269</v>
      </c>
      <c r="M23" s="1603">
        <f t="shared" si="4"/>
        <v>12414</v>
      </c>
      <c r="N23" s="1603">
        <f t="shared" si="5"/>
        <v>95.941949070400184</v>
      </c>
      <c r="O23" s="1604">
        <f t="shared" si="6"/>
        <v>145.53295007439141</v>
      </c>
      <c r="P23" s="1605">
        <f t="shared" si="7"/>
        <v>141.6574044812848</v>
      </c>
    </row>
    <row r="24" spans="2:16" ht="15.75" x14ac:dyDescent="0.25">
      <c r="B24" s="1302" t="s">
        <v>220</v>
      </c>
      <c r="C24" s="1600">
        <v>89.655905754783788</v>
      </c>
      <c r="D24" s="1600">
        <v>277</v>
      </c>
      <c r="E24" s="1600">
        <f t="shared" si="0"/>
        <v>38.057907045728015</v>
      </c>
      <c r="F24" s="1600">
        <v>101.06115525159466</v>
      </c>
      <c r="G24" s="1600">
        <v>326</v>
      </c>
      <c r="H24" s="1600">
        <f t="shared" si="1"/>
        <v>36.451250015337443</v>
      </c>
      <c r="I24" s="1600">
        <v>253.0529379173563</v>
      </c>
      <c r="J24" s="1600">
        <f t="shared" si="2"/>
        <v>277</v>
      </c>
      <c r="K24" s="1600">
        <f t="shared" si="3"/>
        <v>92.116141660650158</v>
      </c>
      <c r="L24" s="1600">
        <v>281.62433109917407</v>
      </c>
      <c r="M24" s="1600">
        <f t="shared" si="4"/>
        <v>326</v>
      </c>
      <c r="N24" s="1600">
        <f t="shared" si="5"/>
        <v>87.107730222392803</v>
      </c>
      <c r="O24" s="1601">
        <f t="shared" si="6"/>
        <v>130.17404870637819</v>
      </c>
      <c r="P24" s="1602">
        <f t="shared" si="7"/>
        <v>123.55898023773025</v>
      </c>
    </row>
    <row r="25" spans="2:16" ht="15.75" x14ac:dyDescent="0.25">
      <c r="B25" s="1302" t="s">
        <v>331</v>
      </c>
      <c r="C25" s="1600">
        <v>720.13503227959927</v>
      </c>
      <c r="D25" s="1600">
        <v>1579</v>
      </c>
      <c r="E25" s="1600">
        <f t="shared" si="0"/>
        <v>53.626268236569267</v>
      </c>
      <c r="F25" s="1600">
        <v>763.20092316063108</v>
      </c>
      <c r="G25" s="1600">
        <v>1718</v>
      </c>
      <c r="H25" s="1600">
        <f t="shared" si="1"/>
        <v>52.234987513564732</v>
      </c>
      <c r="I25" s="1600">
        <v>1277.7707231468889</v>
      </c>
      <c r="J25" s="1600">
        <f t="shared" si="2"/>
        <v>1579</v>
      </c>
      <c r="K25" s="1600">
        <f t="shared" si="3"/>
        <v>81.5971382208009</v>
      </c>
      <c r="L25" s="1600">
        <v>1280.8300821010932</v>
      </c>
      <c r="M25" s="1600">
        <f t="shared" si="4"/>
        <v>1718</v>
      </c>
      <c r="N25" s="1600">
        <f t="shared" si="5"/>
        <v>75.174835047648571</v>
      </c>
      <c r="O25" s="1601">
        <f t="shared" si="6"/>
        <v>135.22340645737017</v>
      </c>
      <c r="P25" s="1602">
        <f t="shared" si="7"/>
        <v>127.4098225612133</v>
      </c>
    </row>
    <row r="26" spans="2:16" ht="15.75" x14ac:dyDescent="0.25">
      <c r="B26" s="1302" t="s">
        <v>1492</v>
      </c>
      <c r="C26" s="1600">
        <v>83.286574684620803</v>
      </c>
      <c r="D26" s="1600">
        <v>215</v>
      </c>
      <c r="E26" s="1600">
        <f t="shared" si="0"/>
        <v>45.549363131782926</v>
      </c>
      <c r="F26" s="1600">
        <v>93.525375768958156</v>
      </c>
      <c r="G26" s="1600">
        <v>223</v>
      </c>
      <c r="H26" s="1600">
        <f t="shared" si="1"/>
        <v>49.314015399850511</v>
      </c>
      <c r="I26" s="1600">
        <v>117.95839172727271</v>
      </c>
      <c r="J26" s="1600">
        <f t="shared" si="2"/>
        <v>215</v>
      </c>
      <c r="K26" s="1600">
        <f t="shared" si="3"/>
        <v>55.321571313953477</v>
      </c>
      <c r="L26" s="1600">
        <v>142.48203249586786</v>
      </c>
      <c r="M26" s="1600">
        <f t="shared" si="4"/>
        <v>223</v>
      </c>
      <c r="N26" s="1600">
        <f t="shared" si="5"/>
        <v>64.42573218236177</v>
      </c>
      <c r="O26" s="1601">
        <f t="shared" si="6"/>
        <v>100.8709344457364</v>
      </c>
      <c r="P26" s="1602">
        <f t="shared" si="7"/>
        <v>113.73974758221229</v>
      </c>
    </row>
    <row r="27" spans="2:16" ht="15.75" x14ac:dyDescent="0.25">
      <c r="B27" s="1302" t="s">
        <v>1493</v>
      </c>
      <c r="C27" s="1600">
        <v>146.80420645641385</v>
      </c>
      <c r="D27" s="1600">
        <v>319</v>
      </c>
      <c r="E27" s="1600">
        <f t="shared" si="0"/>
        <v>54.111999819749194</v>
      </c>
      <c r="F27" s="1600">
        <v>157.79848700921346</v>
      </c>
      <c r="G27" s="1600">
        <v>366</v>
      </c>
      <c r="H27" s="1600">
        <f t="shared" si="1"/>
        <v>50.695278954918074</v>
      </c>
      <c r="I27" s="1600">
        <v>412.74973736363626</v>
      </c>
      <c r="J27" s="1600">
        <f t="shared" si="2"/>
        <v>319</v>
      </c>
      <c r="K27" s="1600">
        <f t="shared" si="3"/>
        <v>130.46687100574712</v>
      </c>
      <c r="L27" s="1600">
        <v>413.50454822313986</v>
      </c>
      <c r="M27" s="1600">
        <f t="shared" si="4"/>
        <v>366</v>
      </c>
      <c r="N27" s="1600">
        <f t="shared" si="5"/>
        <v>113.92087963342424</v>
      </c>
      <c r="O27" s="1601">
        <f t="shared" si="6"/>
        <v>184.57887082549632</v>
      </c>
      <c r="P27" s="1602">
        <f t="shared" si="7"/>
        <v>164.6161585883423</v>
      </c>
    </row>
    <row r="28" spans="2:16" ht="15.75" x14ac:dyDescent="0.25">
      <c r="B28" s="1302" t="s">
        <v>1494</v>
      </c>
      <c r="C28" s="1600">
        <v>59.280289064493218</v>
      </c>
      <c r="D28" s="1600">
        <v>113</v>
      </c>
      <c r="E28" s="1600">
        <f t="shared" si="0"/>
        <v>61.684725567846556</v>
      </c>
      <c r="F28" s="1600">
        <v>75.158556477675532</v>
      </c>
      <c r="G28" s="1600">
        <v>134</v>
      </c>
      <c r="H28" s="1600">
        <f t="shared" si="1"/>
        <v>65.950698501243892</v>
      </c>
      <c r="I28" s="1600">
        <v>119.29690650413249</v>
      </c>
      <c r="J28" s="1600">
        <f t="shared" si="2"/>
        <v>113</v>
      </c>
      <c r="K28" s="1600">
        <f t="shared" si="3"/>
        <v>106.45225432890879</v>
      </c>
      <c r="L28" s="1600">
        <v>121.98314601652903</v>
      </c>
      <c r="M28" s="1600">
        <f t="shared" si="4"/>
        <v>134</v>
      </c>
      <c r="N28" s="1600">
        <f t="shared" si="5"/>
        <v>91.790800174129444</v>
      </c>
      <c r="O28" s="1601">
        <f t="shared" si="6"/>
        <v>168.13697989675535</v>
      </c>
      <c r="P28" s="1602">
        <f t="shared" si="7"/>
        <v>157.74149867537335</v>
      </c>
    </row>
    <row r="29" spans="2:16" ht="15.75" x14ac:dyDescent="0.25">
      <c r="B29" s="1302" t="s">
        <v>1495</v>
      </c>
      <c r="C29" s="1600">
        <v>59.777785790219674</v>
      </c>
      <c r="D29" s="1600">
        <v>225</v>
      </c>
      <c r="E29" s="1600">
        <f t="shared" si="0"/>
        <v>31.239428055555543</v>
      </c>
      <c r="F29" s="1600">
        <v>62.771600701630064</v>
      </c>
      <c r="G29" s="1600">
        <v>248</v>
      </c>
      <c r="H29" s="1600">
        <f t="shared" si="1"/>
        <v>29.761669553091409</v>
      </c>
      <c r="I29" s="1600">
        <v>127.24956058677716</v>
      </c>
      <c r="J29" s="1600">
        <f t="shared" si="2"/>
        <v>225</v>
      </c>
      <c r="K29" s="1600">
        <f t="shared" si="3"/>
        <v>57.026654929629771</v>
      </c>
      <c r="L29" s="1600">
        <v>130.00015159504136</v>
      </c>
      <c r="M29" s="1600">
        <f t="shared" si="4"/>
        <v>248</v>
      </c>
      <c r="N29" s="1600">
        <f t="shared" si="5"/>
        <v>52.856244432123681</v>
      </c>
      <c r="O29" s="1601">
        <f t="shared" si="6"/>
        <v>88.266082985185307</v>
      </c>
      <c r="P29" s="1602">
        <f t="shared" si="7"/>
        <v>82.617913985215097</v>
      </c>
    </row>
    <row r="30" spans="2:16" ht="15.75" x14ac:dyDescent="0.25">
      <c r="B30" s="1302" t="s">
        <v>1496</v>
      </c>
      <c r="C30" s="1600">
        <v>30.495840453579042</v>
      </c>
      <c r="D30" s="1600">
        <v>75</v>
      </c>
      <c r="E30" s="1600">
        <f t="shared" si="0"/>
        <v>47.810700977777806</v>
      </c>
      <c r="F30" s="1600">
        <v>31.452127930545711</v>
      </c>
      <c r="G30" s="1600">
        <v>78</v>
      </c>
      <c r="H30" s="1600">
        <f t="shared" si="1"/>
        <v>47.413410801282048</v>
      </c>
      <c r="I30" s="1600">
        <v>86.889690867768735</v>
      </c>
      <c r="J30" s="1600">
        <f t="shared" si="2"/>
        <v>75</v>
      </c>
      <c r="K30" s="1600">
        <f t="shared" si="3"/>
        <v>116.81836216666686</v>
      </c>
      <c r="L30" s="1600">
        <v>90.471200743801688</v>
      </c>
      <c r="M30" s="1600">
        <f t="shared" si="4"/>
        <v>78</v>
      </c>
      <c r="N30" s="1600">
        <f t="shared" si="5"/>
        <v>116.95529155982912</v>
      </c>
      <c r="O30" s="1601">
        <f t="shared" si="6"/>
        <v>164.62906314444467</v>
      </c>
      <c r="P30" s="1602">
        <f t="shared" si="7"/>
        <v>164.36870236111116</v>
      </c>
    </row>
    <row r="31" spans="2:16" ht="15.75" x14ac:dyDescent="0.25">
      <c r="B31" s="1302" t="s">
        <v>390</v>
      </c>
      <c r="C31" s="1600">
        <v>70.894771941885026</v>
      </c>
      <c r="D31" s="1600">
        <v>149</v>
      </c>
      <c r="E31" s="1600">
        <f t="shared" si="0"/>
        <v>55.946601347874591</v>
      </c>
      <c r="F31" s="1600">
        <v>72.135472324592655</v>
      </c>
      <c r="G31" s="1600">
        <v>162</v>
      </c>
      <c r="H31" s="1600">
        <f t="shared" si="1"/>
        <v>52.357588194444574</v>
      </c>
      <c r="I31" s="1600">
        <v>118.099132033058</v>
      </c>
      <c r="J31" s="1600">
        <f t="shared" si="2"/>
        <v>149</v>
      </c>
      <c r="K31" s="1600">
        <f t="shared" si="3"/>
        <v>79.921672125279756</v>
      </c>
      <c r="L31" s="1600">
        <v>122.1949084628102</v>
      </c>
      <c r="M31" s="1600">
        <f t="shared" si="4"/>
        <v>162</v>
      </c>
      <c r="N31" s="1600">
        <f t="shared" si="5"/>
        <v>76.057530473251205</v>
      </c>
      <c r="O31" s="1601">
        <f t="shared" si="6"/>
        <v>135.86827347315435</v>
      </c>
      <c r="P31" s="1602">
        <f t="shared" si="7"/>
        <v>128.41511866769576</v>
      </c>
    </row>
    <row r="32" spans="2:16" ht="16.5" x14ac:dyDescent="0.3">
      <c r="B32" s="1396" t="s">
        <v>1497</v>
      </c>
      <c r="C32" s="1603">
        <f>SUM(C24:C31)</f>
        <v>1260.3304064255947</v>
      </c>
      <c r="D32" s="1603">
        <f>SUM(D24:D31)</f>
        <v>2952</v>
      </c>
      <c r="E32" s="1603">
        <f t="shared" si="0"/>
        <v>50.201168797044772</v>
      </c>
      <c r="F32" s="1603">
        <f>SUM(F24:F31)</f>
        <v>1357.1036986248412</v>
      </c>
      <c r="G32" s="1603">
        <f>SUM(G24:G31)</f>
        <v>3255</v>
      </c>
      <c r="H32" s="1603">
        <f t="shared" si="1"/>
        <v>49.023894489494396</v>
      </c>
      <c r="I32" s="1603">
        <f>SUM(I24:I31)</f>
        <v>2513.0670801468909</v>
      </c>
      <c r="J32" s="1603">
        <f t="shared" si="2"/>
        <v>2952</v>
      </c>
      <c r="K32" s="1603">
        <f t="shared" si="3"/>
        <v>85.84042363871211</v>
      </c>
      <c r="L32" s="1603">
        <f>SUM(L24:L31)</f>
        <v>2583.090400737457</v>
      </c>
      <c r="M32" s="1603">
        <f t="shared" si="4"/>
        <v>3255</v>
      </c>
      <c r="N32" s="1603">
        <f t="shared" si="5"/>
        <v>80.018929464729212</v>
      </c>
      <c r="O32" s="1604">
        <f t="shared" si="6"/>
        <v>136.04159243575688</v>
      </c>
      <c r="P32" s="1605">
        <f t="shared" si="7"/>
        <v>129.04282395422359</v>
      </c>
    </row>
    <row r="33" spans="2:16" ht="15.75" x14ac:dyDescent="0.25">
      <c r="B33" s="1302" t="s">
        <v>452</v>
      </c>
      <c r="C33" s="1600">
        <v>881.35052948442285</v>
      </c>
      <c r="D33" s="1600">
        <v>2363</v>
      </c>
      <c r="E33" s="1600">
        <f t="shared" si="0"/>
        <v>43.856171431179312</v>
      </c>
      <c r="F33" s="1600">
        <v>944.51358270075775</v>
      </c>
      <c r="G33" s="1600">
        <v>2587</v>
      </c>
      <c r="H33" s="1600">
        <f t="shared" si="1"/>
        <v>42.929669668559761</v>
      </c>
      <c r="I33" s="1600">
        <v>2318.1508006233471</v>
      </c>
      <c r="J33" s="1600">
        <f t="shared" si="2"/>
        <v>2363</v>
      </c>
      <c r="K33" s="1600">
        <f t="shared" si="3"/>
        <v>98.919539736008247</v>
      </c>
      <c r="L33" s="1600">
        <v>2407.8415376573339</v>
      </c>
      <c r="M33" s="1600">
        <f t="shared" si="4"/>
        <v>2587</v>
      </c>
      <c r="N33" s="1600">
        <f t="shared" si="5"/>
        <v>93.85028541957783</v>
      </c>
      <c r="O33" s="1601">
        <f t="shared" si="6"/>
        <v>142.77571116718755</v>
      </c>
      <c r="P33" s="1602">
        <f t="shared" si="7"/>
        <v>136.7799550881376</v>
      </c>
    </row>
    <row r="34" spans="2:16" ht="31.5" x14ac:dyDescent="0.25">
      <c r="B34" s="1246" t="s">
        <v>1498</v>
      </c>
      <c r="C34" s="1600">
        <v>47.894157689581867</v>
      </c>
      <c r="D34" s="1600">
        <v>72</v>
      </c>
      <c r="E34" s="1600">
        <f t="shared" si="0"/>
        <v>78.21603761574076</v>
      </c>
      <c r="F34" s="1600">
        <v>50.396691722182858</v>
      </c>
      <c r="G34" s="1600">
        <v>78</v>
      </c>
      <c r="H34" s="1600">
        <f t="shared" si="1"/>
        <v>75.971935918803439</v>
      </c>
      <c r="I34" s="1600">
        <v>172.65131101652901</v>
      </c>
      <c r="J34" s="1600">
        <f t="shared" si="2"/>
        <v>72</v>
      </c>
      <c r="K34" s="1600">
        <f t="shared" si="3"/>
        <v>241.79176658564828</v>
      </c>
      <c r="L34" s="1600">
        <v>187.85552049586775</v>
      </c>
      <c r="M34" s="1600">
        <f t="shared" si="4"/>
        <v>78</v>
      </c>
      <c r="N34" s="1600">
        <f t="shared" si="5"/>
        <v>242.84741431623928</v>
      </c>
      <c r="O34" s="424">
        <f t="shared" si="6"/>
        <v>320.00780420138904</v>
      </c>
      <c r="P34" s="1606">
        <f t="shared" si="7"/>
        <v>318.81935023504275</v>
      </c>
    </row>
    <row r="35" spans="2:16" ht="15.75" x14ac:dyDescent="0.25">
      <c r="B35" s="1302" t="s">
        <v>466</v>
      </c>
      <c r="C35" s="1600">
        <v>227.11419530120486</v>
      </c>
      <c r="D35" s="1600">
        <v>146</v>
      </c>
      <c r="E35" s="1600">
        <f t="shared" si="0"/>
        <v>182.90989130707769</v>
      </c>
      <c r="F35" s="1600">
        <v>237.42971836995028</v>
      </c>
      <c r="G35" s="1600">
        <v>155</v>
      </c>
      <c r="H35" s="1600">
        <f t="shared" si="1"/>
        <v>180.11469495698918</v>
      </c>
      <c r="I35" s="1600">
        <v>281.14042514049629</v>
      </c>
      <c r="J35" s="1600">
        <f t="shared" si="2"/>
        <v>146</v>
      </c>
      <c r="K35" s="1600">
        <f t="shared" si="3"/>
        <v>194.16661781963501</v>
      </c>
      <c r="L35" s="1600">
        <v>292.83558100082541</v>
      </c>
      <c r="M35" s="1600">
        <f t="shared" si="4"/>
        <v>155</v>
      </c>
      <c r="N35" s="1600">
        <f t="shared" si="5"/>
        <v>190.50056613494556</v>
      </c>
      <c r="O35" s="1601">
        <f t="shared" si="6"/>
        <v>377.07650912671272</v>
      </c>
      <c r="P35" s="1602">
        <f t="shared" si="7"/>
        <v>370.61526109193471</v>
      </c>
    </row>
    <row r="36" spans="2:16" ht="15.75" x14ac:dyDescent="0.25">
      <c r="B36" s="1302" t="s">
        <v>822</v>
      </c>
      <c r="C36" s="1600">
        <v>2701.2184047629707</v>
      </c>
      <c r="D36" s="1600">
        <v>6295</v>
      </c>
      <c r="E36" s="1600">
        <f t="shared" si="0"/>
        <v>50.455641635167481</v>
      </c>
      <c r="F36" s="1600">
        <v>2890.4057814105722</v>
      </c>
      <c r="G36" s="1600">
        <v>6681</v>
      </c>
      <c r="H36" s="1600">
        <f t="shared" si="1"/>
        <v>50.870161123214061</v>
      </c>
      <c r="I36" s="1600">
        <v>7318.3921668934618</v>
      </c>
      <c r="J36" s="1600">
        <f t="shared" si="2"/>
        <v>6295</v>
      </c>
      <c r="K36" s="1600">
        <f t="shared" si="3"/>
        <v>117.22603285598477</v>
      </c>
      <c r="L36" s="1600">
        <v>7704.4688901557556</v>
      </c>
      <c r="M36" s="1600">
        <f t="shared" si="4"/>
        <v>6681</v>
      </c>
      <c r="N36" s="1600">
        <f t="shared" si="5"/>
        <v>116.28008977059903</v>
      </c>
      <c r="O36" s="1601">
        <f t="shared" si="6"/>
        <v>167.68167449115225</v>
      </c>
      <c r="P36" s="1602">
        <f t="shared" si="7"/>
        <v>167.15025089381311</v>
      </c>
    </row>
    <row r="37" spans="2:16" ht="15.75" x14ac:dyDescent="0.25">
      <c r="B37" s="1302" t="s">
        <v>578</v>
      </c>
      <c r="C37" s="1600">
        <v>1955.1608508602831</v>
      </c>
      <c r="D37" s="1600">
        <v>6587</v>
      </c>
      <c r="E37" s="1600">
        <f t="shared" si="0"/>
        <v>34.90121907499443</v>
      </c>
      <c r="F37" s="1600">
        <v>2072.1750610276022</v>
      </c>
      <c r="G37" s="1600">
        <v>7044</v>
      </c>
      <c r="H37" s="1600">
        <f t="shared" si="1"/>
        <v>34.590183266017732</v>
      </c>
      <c r="I37" s="1600">
        <v>4392.4768173388493</v>
      </c>
      <c r="J37" s="1600">
        <f t="shared" si="2"/>
        <v>6587</v>
      </c>
      <c r="K37" s="1600">
        <f t="shared" si="3"/>
        <v>67.239726595061072</v>
      </c>
      <c r="L37" s="1600">
        <v>4624.608396605764</v>
      </c>
      <c r="M37" s="1600">
        <f t="shared" si="4"/>
        <v>7044</v>
      </c>
      <c r="N37" s="1600">
        <f t="shared" si="5"/>
        <v>66.200266892544192</v>
      </c>
      <c r="O37" s="1601">
        <f t="shared" si="6"/>
        <v>102.1409456700555</v>
      </c>
      <c r="P37" s="1602">
        <f t="shared" si="7"/>
        <v>100.79045015856192</v>
      </c>
    </row>
    <row r="38" spans="2:16" ht="15.75" x14ac:dyDescent="0.25">
      <c r="B38" s="1302" t="s">
        <v>606</v>
      </c>
      <c r="C38" s="1600">
        <v>4370.5471917628065</v>
      </c>
      <c r="D38" s="1600">
        <v>8798</v>
      </c>
      <c r="E38" s="1600">
        <f t="shared" si="0"/>
        <v>58.411401147773354</v>
      </c>
      <c r="F38" s="1600">
        <v>4645.5134801344357</v>
      </c>
      <c r="G38" s="1600">
        <v>9354</v>
      </c>
      <c r="H38" s="1600">
        <f t="shared" si="1"/>
        <v>58.39586915107342</v>
      </c>
      <c r="I38" s="1600">
        <v>10450.487194559268</v>
      </c>
      <c r="J38" s="1600">
        <f t="shared" si="2"/>
        <v>8798</v>
      </c>
      <c r="K38" s="1600">
        <f t="shared" si="3"/>
        <v>119.77238676798434</v>
      </c>
      <c r="L38" s="1600">
        <v>11256.578928711851</v>
      </c>
      <c r="M38" s="1600">
        <f t="shared" si="4"/>
        <v>9354</v>
      </c>
      <c r="N38" s="1600">
        <f t="shared" si="5"/>
        <v>121.34256738419697</v>
      </c>
      <c r="O38" s="1601">
        <f t="shared" si="6"/>
        <v>178.1837879157577</v>
      </c>
      <c r="P38" s="1602">
        <f t="shared" si="7"/>
        <v>179.73843653527038</v>
      </c>
    </row>
    <row r="39" spans="2:16" ht="16.5" x14ac:dyDescent="0.3">
      <c r="B39" s="1396" t="s">
        <v>1499</v>
      </c>
      <c r="C39" s="1603">
        <f>SUM(C33:C38)</f>
        <v>10183.28532986127</v>
      </c>
      <c r="D39" s="1603">
        <f>SUM(D33:D38)</f>
        <v>24261</v>
      </c>
      <c r="E39" s="1603">
        <f t="shared" si="0"/>
        <v>49.354298395347307</v>
      </c>
      <c r="F39" s="1603">
        <f>SUM(F33:F38)</f>
        <v>10840.434315365501</v>
      </c>
      <c r="G39" s="1603">
        <f>SUM(G33:G38)</f>
        <v>25899</v>
      </c>
      <c r="H39" s="1603">
        <f t="shared" si="1"/>
        <v>49.216355904927873</v>
      </c>
      <c r="I39" s="1603">
        <f>SUM(I33:I38)</f>
        <v>24933.298715571953</v>
      </c>
      <c r="J39" s="1603">
        <f t="shared" si="2"/>
        <v>24261</v>
      </c>
      <c r="K39" s="1603">
        <f t="shared" si="3"/>
        <v>103.62753474658253</v>
      </c>
      <c r="L39" s="1603">
        <f>SUM(L33:L38)</f>
        <v>26474.188854627399</v>
      </c>
      <c r="M39" s="1603">
        <f t="shared" si="4"/>
        <v>25899</v>
      </c>
      <c r="N39" s="1603">
        <f t="shared" si="5"/>
        <v>103.07273290506438</v>
      </c>
      <c r="O39" s="1604">
        <f t="shared" si="6"/>
        <v>152.98183314192983</v>
      </c>
      <c r="P39" s="1605">
        <f t="shared" si="7"/>
        <v>152.28908880999225</v>
      </c>
    </row>
    <row r="40" spans="2:16" ht="15.75" x14ac:dyDescent="0.25">
      <c r="B40" s="1302" t="s">
        <v>221</v>
      </c>
      <c r="C40" s="1600">
        <v>1627.3164141127158</v>
      </c>
      <c r="D40" s="1600">
        <v>4773</v>
      </c>
      <c r="E40" s="1600">
        <f t="shared" si="0"/>
        <v>40.089102945614961</v>
      </c>
      <c r="F40" s="1600">
        <v>1711.6925827884538</v>
      </c>
      <c r="G40" s="1600">
        <v>5021</v>
      </c>
      <c r="H40" s="1600">
        <f t="shared" si="1"/>
        <v>40.08494712730711</v>
      </c>
      <c r="I40" s="1600">
        <v>3512.2317960432702</v>
      </c>
      <c r="J40" s="1600">
        <f t="shared" si="2"/>
        <v>4773</v>
      </c>
      <c r="K40" s="1600">
        <f t="shared" si="3"/>
        <v>74.198625483838896</v>
      </c>
      <c r="L40" s="1600">
        <v>3745.029862868405</v>
      </c>
      <c r="M40" s="1600">
        <f t="shared" si="4"/>
        <v>5021</v>
      </c>
      <c r="N40" s="1600">
        <f t="shared" si="5"/>
        <v>75.208891556641603</v>
      </c>
      <c r="O40" s="1601">
        <f t="shared" si="6"/>
        <v>114.28772842945386</v>
      </c>
      <c r="P40" s="1602">
        <f t="shared" si="7"/>
        <v>115.29383868394871</v>
      </c>
    </row>
    <row r="41" spans="2:16" ht="15.75" x14ac:dyDescent="0.25">
      <c r="B41" s="1302" t="s">
        <v>550</v>
      </c>
      <c r="C41" s="1600">
        <v>3054.318631598404</v>
      </c>
      <c r="D41" s="1600">
        <v>7106</v>
      </c>
      <c r="E41" s="1600">
        <f t="shared" si="0"/>
        <v>50.539961408027814</v>
      </c>
      <c r="F41" s="1600">
        <v>3225.0662547953934</v>
      </c>
      <c r="G41" s="1600">
        <v>7583</v>
      </c>
      <c r="H41" s="1600">
        <f t="shared" si="1"/>
        <v>50.008445267004042</v>
      </c>
      <c r="I41" s="1600">
        <v>8258.8298635034735</v>
      </c>
      <c r="J41" s="1600">
        <f t="shared" si="2"/>
        <v>7106</v>
      </c>
      <c r="K41" s="1600">
        <f t="shared" si="3"/>
        <v>117.19185822824848</v>
      </c>
      <c r="L41" s="1600">
        <v>8235.6455993973523</v>
      </c>
      <c r="M41" s="1600">
        <f t="shared" si="4"/>
        <v>7583</v>
      </c>
      <c r="N41" s="1600">
        <f t="shared" si="5"/>
        <v>109.51174969527008</v>
      </c>
      <c r="O41" s="1601">
        <f t="shared" si="6"/>
        <v>167.7318196362763</v>
      </c>
      <c r="P41" s="1602">
        <f t="shared" si="7"/>
        <v>159.52019496227413</v>
      </c>
    </row>
    <row r="42" spans="2:16" ht="15.75" x14ac:dyDescent="0.25">
      <c r="B42" s="1302" t="s">
        <v>568</v>
      </c>
      <c r="C42" s="1600">
        <v>1879.4175239121182</v>
      </c>
      <c r="D42" s="1600">
        <v>2979</v>
      </c>
      <c r="E42" s="1600">
        <f t="shared" si="0"/>
        <v>74.181999726977708</v>
      </c>
      <c r="F42" s="1600">
        <v>1981.6705411977339</v>
      </c>
      <c r="G42" s="1600">
        <v>3263</v>
      </c>
      <c r="H42" s="1600">
        <f t="shared" si="1"/>
        <v>71.410183206405208</v>
      </c>
      <c r="I42" s="1600">
        <v>2419.3431267314104</v>
      </c>
      <c r="J42" s="1600">
        <f t="shared" si="2"/>
        <v>2979</v>
      </c>
      <c r="K42" s="1600">
        <f t="shared" si="3"/>
        <v>81.890040935017524</v>
      </c>
      <c r="L42" s="1600">
        <v>2486.9606260099185</v>
      </c>
      <c r="M42" s="1600">
        <f t="shared" si="4"/>
        <v>3263</v>
      </c>
      <c r="N42" s="1600">
        <f t="shared" si="5"/>
        <v>76.852139071202416</v>
      </c>
      <c r="O42" s="1601">
        <f t="shared" si="6"/>
        <v>156.07204066199523</v>
      </c>
      <c r="P42" s="1602">
        <f t="shared" si="7"/>
        <v>148.26232227760761</v>
      </c>
    </row>
    <row r="43" spans="2:16" ht="15.75" x14ac:dyDescent="0.25">
      <c r="B43" s="1302" t="s">
        <v>1500</v>
      </c>
      <c r="C43" s="1600">
        <v>1.4887890148830618</v>
      </c>
      <c r="D43" s="1600">
        <v>4</v>
      </c>
      <c r="E43" s="1600">
        <f t="shared" si="0"/>
        <v>43.764193750000004</v>
      </c>
      <c r="F43" s="1600">
        <v>1.1429664776754076</v>
      </c>
      <c r="G43" s="1600">
        <v>4</v>
      </c>
      <c r="H43" s="1600">
        <f t="shared" si="1"/>
        <v>33.598452083333335</v>
      </c>
      <c r="I43" s="1600">
        <v>21.119081933884296</v>
      </c>
      <c r="J43" s="1600">
        <f t="shared" si="2"/>
        <v>4</v>
      </c>
      <c r="K43" s="1600">
        <f t="shared" si="3"/>
        <v>532.37685708333322</v>
      </c>
      <c r="L43" s="1600">
        <v>19.70809518181818</v>
      </c>
      <c r="M43" s="1600">
        <f t="shared" si="4"/>
        <v>4</v>
      </c>
      <c r="N43" s="1600">
        <f t="shared" si="5"/>
        <v>496.80823270833332</v>
      </c>
      <c r="O43" s="1601">
        <f t="shared" si="6"/>
        <v>576.14105083333322</v>
      </c>
      <c r="P43" s="1602">
        <f t="shared" si="7"/>
        <v>530.40668479166663</v>
      </c>
    </row>
    <row r="44" spans="2:16" ht="15.75" x14ac:dyDescent="0.25">
      <c r="B44" s="1302" t="s">
        <v>851</v>
      </c>
      <c r="C44" s="1600">
        <v>192.3181036640681</v>
      </c>
      <c r="D44" s="1600">
        <v>210</v>
      </c>
      <c r="E44" s="1600">
        <f t="shared" si="0"/>
        <v>107.68287471031749</v>
      </c>
      <c r="F44" s="1600">
        <v>207.7859884479094</v>
      </c>
      <c r="G44" s="1600">
        <v>217</v>
      </c>
      <c r="H44" s="1600">
        <f t="shared" si="1"/>
        <v>112.59064120583724</v>
      </c>
      <c r="I44" s="1600">
        <v>584.28361740495882</v>
      </c>
      <c r="J44" s="1600">
        <f t="shared" si="2"/>
        <v>210</v>
      </c>
      <c r="K44" s="1600">
        <f t="shared" si="3"/>
        <v>280.54887978571435</v>
      </c>
      <c r="L44" s="1600">
        <v>598.93458028429802</v>
      </c>
      <c r="M44" s="1600">
        <f t="shared" si="4"/>
        <v>217</v>
      </c>
      <c r="N44" s="1600">
        <f t="shared" si="5"/>
        <v>278.30677501689729</v>
      </c>
      <c r="O44" s="1601">
        <f t="shared" si="6"/>
        <v>388.23175449603184</v>
      </c>
      <c r="P44" s="1602">
        <f t="shared" si="7"/>
        <v>390.89741622273453</v>
      </c>
    </row>
    <row r="45" spans="2:16" ht="15.75" x14ac:dyDescent="0.25">
      <c r="B45" s="1302" t="s">
        <v>224</v>
      </c>
      <c r="C45" s="1600">
        <v>3533.7069309413937</v>
      </c>
      <c r="D45" s="1600">
        <v>7692</v>
      </c>
      <c r="E45" s="1600">
        <f t="shared" si="0"/>
        <v>54.0178159078513</v>
      </c>
      <c r="F45" s="1600">
        <v>3795.2236805510047</v>
      </c>
      <c r="G45" s="1600">
        <v>8095</v>
      </c>
      <c r="H45" s="1600">
        <f t="shared" si="1"/>
        <v>55.127245349572441</v>
      </c>
      <c r="I45" s="1600">
        <v>6343.5373549513151</v>
      </c>
      <c r="J45" s="1600">
        <f t="shared" si="2"/>
        <v>7692</v>
      </c>
      <c r="K45" s="1600">
        <f t="shared" si="3"/>
        <v>83.156528422290378</v>
      </c>
      <c r="L45" s="1600">
        <v>6777.9683664141403</v>
      </c>
      <c r="M45" s="1600">
        <f t="shared" si="4"/>
        <v>8095</v>
      </c>
      <c r="N45" s="1600">
        <f t="shared" si="5"/>
        <v>84.428059742239128</v>
      </c>
      <c r="O45" s="1601">
        <f t="shared" si="6"/>
        <v>137.17434433014168</v>
      </c>
      <c r="P45" s="1602">
        <f t="shared" si="7"/>
        <v>139.55530509181156</v>
      </c>
    </row>
    <row r="46" spans="2:16" ht="15.75" x14ac:dyDescent="0.25">
      <c r="B46" s="1302" t="s">
        <v>691</v>
      </c>
      <c r="C46" s="1600">
        <v>1801.2476851724514</v>
      </c>
      <c r="D46" s="1600">
        <v>4383</v>
      </c>
      <c r="E46" s="1600">
        <f t="shared" si="0"/>
        <v>48.32231507678015</v>
      </c>
      <c r="F46" s="1600">
        <v>1901.393239953145</v>
      </c>
      <c r="G46" s="1600">
        <v>4606</v>
      </c>
      <c r="H46" s="1600">
        <f t="shared" si="1"/>
        <v>48.539330249925598</v>
      </c>
      <c r="I46" s="1600">
        <v>3646.87317925244</v>
      </c>
      <c r="J46" s="1600">
        <f t="shared" si="2"/>
        <v>4383</v>
      </c>
      <c r="K46" s="1600">
        <f t="shared" si="3"/>
        <v>83.898329661865006</v>
      </c>
      <c r="L46" s="1600">
        <v>3740.6981258735304</v>
      </c>
      <c r="M46" s="1600">
        <f t="shared" si="4"/>
        <v>4606</v>
      </c>
      <c r="N46" s="1600">
        <f t="shared" si="5"/>
        <v>81.890373648628099</v>
      </c>
      <c r="O46" s="1601">
        <f t="shared" si="6"/>
        <v>132.22064473864515</v>
      </c>
      <c r="P46" s="1602">
        <f t="shared" si="7"/>
        <v>130.4297038985537</v>
      </c>
    </row>
    <row r="47" spans="2:16" ht="16.5" x14ac:dyDescent="0.3">
      <c r="B47" s="1396" t="s">
        <v>1501</v>
      </c>
      <c r="C47" s="1603">
        <f>SUM(C40:C46)</f>
        <v>12089.814078416033</v>
      </c>
      <c r="D47" s="1603">
        <f>SUM(D40:D46)</f>
        <v>27147</v>
      </c>
      <c r="E47" s="1603">
        <f t="shared" si="0"/>
        <v>52.365294092180299</v>
      </c>
      <c r="F47" s="1603">
        <f>SUM(F40:F46)</f>
        <v>12823.975254211316</v>
      </c>
      <c r="G47" s="1603">
        <f>SUM(G40:G46)</f>
        <v>28789</v>
      </c>
      <c r="H47" s="1603">
        <f t="shared" si="1"/>
        <v>52.377149500654674</v>
      </c>
      <c r="I47" s="1603">
        <f>SUM(I40:I46)</f>
        <v>24786.218019820753</v>
      </c>
      <c r="J47" s="1603">
        <f t="shared" si="2"/>
        <v>27147</v>
      </c>
      <c r="K47" s="1603">
        <f t="shared" si="3"/>
        <v>92.064573752726233</v>
      </c>
      <c r="L47" s="1603">
        <f>SUM(L40:L46)</f>
        <v>25604.945256029467</v>
      </c>
      <c r="M47" s="1603">
        <f t="shared" si="4"/>
        <v>28789</v>
      </c>
      <c r="N47" s="1603">
        <f t="shared" si="5"/>
        <v>89.681196984368043</v>
      </c>
      <c r="O47" s="1604">
        <f t="shared" si="6"/>
        <v>144.42986784490654</v>
      </c>
      <c r="P47" s="1605">
        <f t="shared" si="7"/>
        <v>142.05834648502272</v>
      </c>
    </row>
    <row r="48" spans="2:16" ht="17.25" thickBot="1" x14ac:dyDescent="0.35">
      <c r="B48" s="1397" t="s">
        <v>1029</v>
      </c>
      <c r="C48" s="1603">
        <v>40004.537126939227</v>
      </c>
      <c r="D48" s="1603">
        <f>D47+D39+D32+D23+D17</f>
        <v>96724</v>
      </c>
      <c r="E48" s="1603">
        <f t="shared" si="0"/>
        <v>48.63184756464377</v>
      </c>
      <c r="F48" s="1603">
        <v>42586.180673840245</v>
      </c>
      <c r="G48" s="1603">
        <f>G47+G39+G32+G23+G17</f>
        <v>103023</v>
      </c>
      <c r="H48" s="1603">
        <f t="shared" si="1"/>
        <v>48.604923925392541</v>
      </c>
      <c r="I48" s="1603">
        <v>91407.335042480903</v>
      </c>
      <c r="J48" s="1603">
        <f t="shared" si="2"/>
        <v>96724</v>
      </c>
      <c r="K48" s="1603">
        <f t="shared" si="3"/>
        <v>95.290789084923688</v>
      </c>
      <c r="L48" s="2524">
        <v>94707.564498632943</v>
      </c>
      <c r="M48" s="2524">
        <f t="shared" si="4"/>
        <v>103023</v>
      </c>
      <c r="N48" s="2524">
        <f>((L48/M48)/12)*1210</f>
        <v>92.694635375390178</v>
      </c>
      <c r="O48" s="2525">
        <f>+E48+K48</f>
        <v>143.92263664956747</v>
      </c>
      <c r="P48" s="2526">
        <f>+H48+N48</f>
        <v>141.29955930078273</v>
      </c>
    </row>
    <row r="49" spans="2:5" x14ac:dyDescent="0.25">
      <c r="B49" s="950" t="s">
        <v>3014</v>
      </c>
      <c r="C49" s="2372"/>
      <c r="D49" s="2373"/>
      <c r="E49" s="2373"/>
    </row>
    <row r="50" spans="2:5" x14ac:dyDescent="0.25">
      <c r="B50" s="2374"/>
      <c r="C50" s="2372"/>
      <c r="D50" s="2373"/>
      <c r="E50" s="2373"/>
    </row>
    <row r="64" spans="2:5" ht="1.5" customHeight="1" x14ac:dyDescent="0.25"/>
  </sheetData>
  <mergeCells count="12">
    <mergeCell ref="O5:O6"/>
    <mergeCell ref="P5:P6"/>
    <mergeCell ref="B2:P2"/>
    <mergeCell ref="B3:M3"/>
    <mergeCell ref="C4:H4"/>
    <mergeCell ref="I4:N4"/>
    <mergeCell ref="O4:P4"/>
    <mergeCell ref="E5:E6"/>
    <mergeCell ref="H5:H6"/>
    <mergeCell ref="K5:K6"/>
    <mergeCell ref="N5:N6"/>
    <mergeCell ref="B4:B6"/>
  </mergeCells>
  <pageMargins left="0.70866141732283505" right="0.70866141732283505" top="0.74803149606299202" bottom="0.74803149606299202" header="0.31496062992126" footer="0.31496062992126"/>
  <pageSetup paperSize="9" scale="51" orientation="landscape"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2E8E3B-D3A5-4AD3-9661-F772C03D5C8A}">
  <sheetPr>
    <tabColor theme="0"/>
    <pageSetUpPr fitToPage="1"/>
  </sheetPr>
  <dimension ref="B1:AC64"/>
  <sheetViews>
    <sheetView showGridLines="0" view="pageLayout" topLeftCell="B19" zoomScale="80" zoomScaleNormal="90" zoomScalePageLayoutView="80" workbookViewId="0">
      <selection activeCell="B81" sqref="B81"/>
    </sheetView>
  </sheetViews>
  <sheetFormatPr defaultColWidth="9.140625" defaultRowHeight="16.5" x14ac:dyDescent="0.3"/>
  <cols>
    <col min="1" max="1" width="9.140625" style="4"/>
    <col min="2" max="2" width="29.140625" style="4" customWidth="1"/>
    <col min="3" max="3" width="8.42578125" style="4" hidden="1" customWidth="1"/>
    <col min="4" max="4" width="6.85546875" style="4" hidden="1" customWidth="1"/>
    <col min="5" max="5" width="7.28515625" style="51" bestFit="1" customWidth="1"/>
    <col min="6" max="6" width="7.140625" style="51" bestFit="1" customWidth="1"/>
    <col min="7" max="7" width="10.42578125" style="51" customWidth="1"/>
    <col min="8" max="10" width="8.7109375" style="51" customWidth="1"/>
    <col min="11" max="11" width="10" style="51" customWidth="1"/>
    <col min="12" max="12" width="11.42578125" style="51" customWidth="1"/>
    <col min="13" max="13" width="10" style="51" customWidth="1"/>
    <col min="14" max="14" width="11.42578125" style="51" customWidth="1"/>
    <col min="15" max="16" width="9.140625" style="4" hidden="1" customWidth="1"/>
    <col min="17" max="17" width="16.7109375" style="4" hidden="1" customWidth="1"/>
    <col min="18" max="25" width="9.140625" style="4" hidden="1" customWidth="1"/>
    <col min="26" max="27" width="0" style="4" hidden="1" customWidth="1"/>
    <col min="28" max="28" width="7.5703125" style="4" hidden="1" customWidth="1"/>
    <col min="29" max="29" width="3.42578125" style="4" hidden="1" customWidth="1"/>
    <col min="30" max="16384" width="9.140625" style="4"/>
  </cols>
  <sheetData>
    <row r="1" spans="2:29" ht="23.25" customHeight="1" thickBot="1" x14ac:dyDescent="0.35">
      <c r="B1" s="3517" t="s">
        <v>1535</v>
      </c>
      <c r="C1" s="3518"/>
      <c r="D1" s="3518"/>
      <c r="E1" s="3518"/>
      <c r="F1" s="3518"/>
      <c r="G1" s="3518"/>
      <c r="H1" s="3518"/>
      <c r="I1" s="3518"/>
      <c r="J1" s="3518"/>
      <c r="K1" s="3518"/>
      <c r="L1" s="3518"/>
      <c r="M1" s="3518"/>
      <c r="N1" s="3519"/>
    </row>
    <row r="2" spans="2:29" x14ac:dyDescent="0.3">
      <c r="B2" s="3520" t="s">
        <v>1536</v>
      </c>
      <c r="C2" s="3520"/>
      <c r="D2" s="3520"/>
      <c r="E2" s="3520"/>
      <c r="F2" s="3520"/>
      <c r="G2" s="3520"/>
      <c r="H2" s="3520"/>
      <c r="I2" s="3520"/>
      <c r="J2" s="3520"/>
      <c r="K2" s="3520"/>
      <c r="L2" s="3520"/>
      <c r="M2" s="3520"/>
      <c r="N2" s="3520"/>
    </row>
    <row r="3" spans="2:29" x14ac:dyDescent="0.3">
      <c r="B3" s="3510" t="s">
        <v>1477</v>
      </c>
      <c r="C3" s="3521" t="s">
        <v>9</v>
      </c>
      <c r="D3" s="3522"/>
      <c r="E3" s="3510" t="s">
        <v>10</v>
      </c>
      <c r="F3" s="3510"/>
      <c r="G3" s="3510" t="s">
        <v>779</v>
      </c>
      <c r="H3" s="3510"/>
      <c r="I3" s="3510" t="s">
        <v>382</v>
      </c>
      <c r="J3" s="3510"/>
      <c r="K3" s="3510" t="s">
        <v>2309</v>
      </c>
      <c r="L3" s="3510"/>
      <c r="M3" s="3510" t="s">
        <v>2479</v>
      </c>
      <c r="N3" s="3510"/>
    </row>
    <row r="4" spans="2:29" ht="17.25" x14ac:dyDescent="0.3">
      <c r="B4" s="3510"/>
      <c r="C4" s="1217" t="s">
        <v>2471</v>
      </c>
      <c r="D4" s="1217" t="s">
        <v>1478</v>
      </c>
      <c r="E4" s="1217" t="s">
        <v>2471</v>
      </c>
      <c r="F4" s="1217" t="s">
        <v>1478</v>
      </c>
      <c r="G4" s="1217" t="s">
        <v>2471</v>
      </c>
      <c r="H4" s="1217" t="s">
        <v>1478</v>
      </c>
      <c r="I4" s="1217" t="s">
        <v>1537</v>
      </c>
      <c r="J4" s="1217" t="s">
        <v>1478</v>
      </c>
      <c r="K4" s="1217" t="s">
        <v>2471</v>
      </c>
      <c r="L4" s="1217" t="s">
        <v>1478</v>
      </c>
      <c r="M4" s="1217" t="s">
        <v>2471</v>
      </c>
      <c r="N4" s="1217" t="s">
        <v>1478</v>
      </c>
    </row>
    <row r="5" spans="2:29" x14ac:dyDescent="0.3">
      <c r="B5" s="1218" t="s">
        <v>1484</v>
      </c>
      <c r="C5" s="1219">
        <v>0</v>
      </c>
      <c r="D5" s="1219">
        <v>0</v>
      </c>
      <c r="E5" s="1219">
        <v>0</v>
      </c>
      <c r="F5" s="1219">
        <v>0</v>
      </c>
      <c r="G5" s="1219">
        <v>0</v>
      </c>
      <c r="H5" s="1220">
        <v>0</v>
      </c>
      <c r="I5" s="1219">
        <v>0</v>
      </c>
      <c r="J5" s="1219">
        <v>0</v>
      </c>
      <c r="K5" s="1219">
        <v>0</v>
      </c>
      <c r="L5" s="1219">
        <v>0</v>
      </c>
      <c r="M5" s="1219">
        <v>0</v>
      </c>
      <c r="N5" s="1219">
        <v>0</v>
      </c>
      <c r="O5" s="4">
        <f t="shared" ref="O5:O14" si="0">VLOOKUP(B5,$Q$5:$U$40,4,FALSE)</f>
        <v>0</v>
      </c>
      <c r="P5" s="4">
        <f t="shared" ref="P5:P12" si="1">VLOOKUP(B5,$Q$5:$U$40,5,FALSE)</f>
        <v>0</v>
      </c>
      <c r="Q5" s="4" t="s">
        <v>1490</v>
      </c>
      <c r="R5" s="4">
        <v>0</v>
      </c>
      <c r="S5" s="4">
        <v>0</v>
      </c>
      <c r="T5" s="4">
        <v>0</v>
      </c>
      <c r="U5" s="4">
        <v>0</v>
      </c>
    </row>
    <row r="6" spans="2:29" x14ac:dyDescent="0.3">
      <c r="B6" s="1218" t="s">
        <v>1485</v>
      </c>
      <c r="C6" s="1219">
        <v>0</v>
      </c>
      <c r="D6" s="1219">
        <v>0</v>
      </c>
      <c r="E6" s="1219">
        <v>0</v>
      </c>
      <c r="F6" s="1219">
        <v>0</v>
      </c>
      <c r="G6" s="1219">
        <v>0</v>
      </c>
      <c r="H6" s="1220">
        <v>0</v>
      </c>
      <c r="I6" s="1219">
        <v>0</v>
      </c>
      <c r="J6" s="1219">
        <v>0</v>
      </c>
      <c r="K6" s="1219">
        <v>0</v>
      </c>
      <c r="L6" s="1219">
        <v>0</v>
      </c>
      <c r="M6" s="1219">
        <v>0</v>
      </c>
      <c r="N6" s="1219">
        <v>0</v>
      </c>
      <c r="O6" s="4">
        <f t="shared" si="0"/>
        <v>0</v>
      </c>
      <c r="P6" s="4">
        <f t="shared" si="1"/>
        <v>0</v>
      </c>
      <c r="Q6" s="4" t="s">
        <v>221</v>
      </c>
      <c r="R6" s="4">
        <v>0</v>
      </c>
      <c r="S6" s="4">
        <v>0</v>
      </c>
      <c r="T6" s="4">
        <v>0</v>
      </c>
      <c r="U6" s="4">
        <v>0</v>
      </c>
    </row>
    <row r="7" spans="2:29" x14ac:dyDescent="0.3">
      <c r="B7" s="1218" t="s">
        <v>507</v>
      </c>
      <c r="C7" s="1219">
        <v>0</v>
      </c>
      <c r="D7" s="1219">
        <v>0</v>
      </c>
      <c r="E7" s="1219">
        <v>0</v>
      </c>
      <c r="F7" s="1219">
        <v>0</v>
      </c>
      <c r="G7" s="1219">
        <v>0</v>
      </c>
      <c r="H7" s="1220">
        <v>4.5799999999999997E-4</v>
      </c>
      <c r="I7" s="1219">
        <v>0</v>
      </c>
      <c r="J7" s="1219">
        <v>0</v>
      </c>
      <c r="K7" s="1219">
        <v>0</v>
      </c>
      <c r="L7" s="1219">
        <v>0</v>
      </c>
      <c r="M7" s="1219">
        <v>0</v>
      </c>
      <c r="N7" s="1219">
        <v>0</v>
      </c>
      <c r="O7" s="4">
        <f t="shared" si="0"/>
        <v>0</v>
      </c>
      <c r="P7" s="4">
        <f t="shared" si="1"/>
        <v>4.5799999999999997E-4</v>
      </c>
      <c r="Q7" s="4" t="s">
        <v>220</v>
      </c>
      <c r="R7" s="4">
        <v>2976</v>
      </c>
      <c r="S7" s="4">
        <v>164.98633000000001</v>
      </c>
      <c r="T7" s="4">
        <v>2.976</v>
      </c>
      <c r="U7" s="4">
        <v>0.16498633000000001</v>
      </c>
    </row>
    <row r="8" spans="2:29" x14ac:dyDescent="0.3">
      <c r="B8" s="1218" t="s">
        <v>538</v>
      </c>
      <c r="C8" s="1219">
        <v>9.7919999999999998</v>
      </c>
      <c r="D8" s="1219">
        <v>6.7559474999999996</v>
      </c>
      <c r="E8" s="1219">
        <v>6.8639999999999999</v>
      </c>
      <c r="F8" s="1219">
        <v>2.3279754800000001</v>
      </c>
      <c r="G8" s="1219">
        <v>4.032</v>
      </c>
      <c r="H8" s="1220">
        <v>0.11999588</v>
      </c>
      <c r="I8" s="1219">
        <v>2.016</v>
      </c>
      <c r="J8" s="1219">
        <v>7.9991200000000002E-3</v>
      </c>
      <c r="K8" s="1221">
        <v>4.8000000000000001E-2</v>
      </c>
      <c r="L8" s="1221">
        <v>2.3999950000000003E-2</v>
      </c>
      <c r="M8" s="1219">
        <v>0</v>
      </c>
      <c r="N8" s="1219">
        <v>0</v>
      </c>
      <c r="O8" s="4">
        <f t="shared" si="0"/>
        <v>4.032</v>
      </c>
      <c r="P8" s="4">
        <f t="shared" si="1"/>
        <v>0.11999588</v>
      </c>
      <c r="Q8" s="4" t="s">
        <v>331</v>
      </c>
      <c r="R8" s="4">
        <v>99552</v>
      </c>
      <c r="S8" s="4">
        <v>12715.649880000001</v>
      </c>
      <c r="T8" s="4">
        <v>99.552000000000007</v>
      </c>
      <c r="U8" s="4">
        <v>12.715649880000001</v>
      </c>
    </row>
    <row r="9" spans="2:29" x14ac:dyDescent="0.3">
      <c r="B9" s="1218" t="s">
        <v>1521</v>
      </c>
      <c r="C9" s="1219">
        <v>44.988</v>
      </c>
      <c r="D9" s="1219">
        <v>36.522801860000001</v>
      </c>
      <c r="E9" s="1219">
        <v>38.256</v>
      </c>
      <c r="F9" s="1219">
        <v>29.221870019999987</v>
      </c>
      <c r="G9" s="1219">
        <v>30.623999999999999</v>
      </c>
      <c r="H9" s="1220">
        <v>0.76197783000000008</v>
      </c>
      <c r="I9" s="1219">
        <v>15.311999999999999</v>
      </c>
      <c r="J9" s="1219">
        <v>7.9991200000000002E-3</v>
      </c>
      <c r="K9" s="1219">
        <v>0</v>
      </c>
      <c r="L9" s="1219">
        <v>0</v>
      </c>
      <c r="M9" s="1219">
        <v>0</v>
      </c>
      <c r="N9" s="1219">
        <v>1E-8</v>
      </c>
      <c r="O9" s="4">
        <f t="shared" si="0"/>
        <v>30.623999999999999</v>
      </c>
      <c r="P9" s="4">
        <f t="shared" si="1"/>
        <v>0.76197783000000008</v>
      </c>
      <c r="Q9" s="4" t="s">
        <v>426</v>
      </c>
      <c r="R9" s="4">
        <v>127632</v>
      </c>
      <c r="S9" s="4">
        <v>48363.492190000004</v>
      </c>
      <c r="T9" s="4">
        <v>127.63200000000001</v>
      </c>
      <c r="U9" s="4">
        <v>48.363492190000002</v>
      </c>
    </row>
    <row r="10" spans="2:29" x14ac:dyDescent="0.3">
      <c r="B10" s="1218" t="s">
        <v>1488</v>
      </c>
      <c r="C10" s="1219">
        <v>3.528</v>
      </c>
      <c r="D10" s="1219">
        <v>3.5179907799999999</v>
      </c>
      <c r="E10" s="1219">
        <v>3.528</v>
      </c>
      <c r="F10" s="1219">
        <v>3.3459871199999998</v>
      </c>
      <c r="G10" s="1219">
        <v>2.8319999999999999</v>
      </c>
      <c r="H10" s="1220">
        <v>0.63399717</v>
      </c>
      <c r="I10" s="1219">
        <v>1.3919999999999999</v>
      </c>
      <c r="J10" s="1219">
        <v>0</v>
      </c>
      <c r="K10" s="1219">
        <v>0</v>
      </c>
      <c r="L10" s="1219">
        <v>0</v>
      </c>
      <c r="M10" s="1219">
        <v>0</v>
      </c>
      <c r="N10" s="1219">
        <v>0</v>
      </c>
      <c r="O10" s="4">
        <f t="shared" si="0"/>
        <v>2.8319999999999999</v>
      </c>
      <c r="P10" s="4">
        <f t="shared" si="1"/>
        <v>0.63399717</v>
      </c>
      <c r="Q10" s="4" t="s">
        <v>1484</v>
      </c>
      <c r="R10" s="4">
        <v>0</v>
      </c>
      <c r="S10" s="4">
        <v>0</v>
      </c>
      <c r="T10" s="4">
        <v>0</v>
      </c>
      <c r="U10" s="4">
        <v>0</v>
      </c>
    </row>
    <row r="11" spans="2:29" x14ac:dyDescent="0.3">
      <c r="B11" s="1218" t="s">
        <v>645</v>
      </c>
      <c r="C11" s="1219">
        <v>0</v>
      </c>
      <c r="D11" s="1219">
        <v>0</v>
      </c>
      <c r="E11" s="1219">
        <v>0</v>
      </c>
      <c r="F11" s="1219">
        <v>0</v>
      </c>
      <c r="G11" s="1219">
        <v>0</v>
      </c>
      <c r="H11" s="1220">
        <v>0</v>
      </c>
      <c r="I11" s="1219">
        <v>0</v>
      </c>
      <c r="J11" s="1219">
        <v>0</v>
      </c>
      <c r="K11" s="1219">
        <v>0</v>
      </c>
      <c r="L11" s="1219">
        <v>0</v>
      </c>
      <c r="M11" s="1219">
        <v>0</v>
      </c>
      <c r="N11" s="1219">
        <v>0</v>
      </c>
      <c r="O11" s="4">
        <f t="shared" si="0"/>
        <v>0</v>
      </c>
      <c r="P11" s="4">
        <f t="shared" si="1"/>
        <v>0</v>
      </c>
      <c r="Q11" s="172" t="s">
        <v>452</v>
      </c>
      <c r="R11" s="4">
        <v>34944</v>
      </c>
      <c r="S11" s="4">
        <v>9697.9909700000007</v>
      </c>
      <c r="T11" s="4">
        <v>34.944000000000003</v>
      </c>
      <c r="U11" s="4">
        <v>9.6979909700000011</v>
      </c>
    </row>
    <row r="12" spans="2:29" ht="22.5" customHeight="1" x14ac:dyDescent="0.3">
      <c r="B12" s="1218" t="s">
        <v>223</v>
      </c>
      <c r="C12" s="1219">
        <v>14.15</v>
      </c>
      <c r="D12" s="1219">
        <v>0.93598613999999991</v>
      </c>
      <c r="E12" s="1219">
        <v>0</v>
      </c>
      <c r="F12" s="1219">
        <v>0</v>
      </c>
      <c r="G12" s="1219">
        <v>0</v>
      </c>
      <c r="H12" s="1220">
        <v>0</v>
      </c>
      <c r="I12" s="1219">
        <v>0</v>
      </c>
      <c r="J12" s="1219">
        <v>5.9000000000000004E-5</v>
      </c>
      <c r="K12" s="1219">
        <v>0</v>
      </c>
      <c r="L12" s="1219">
        <v>0</v>
      </c>
      <c r="M12" s="1219">
        <v>0</v>
      </c>
      <c r="N12" s="1219">
        <v>0</v>
      </c>
      <c r="O12" s="4">
        <f t="shared" si="0"/>
        <v>0</v>
      </c>
      <c r="P12" s="4">
        <f t="shared" si="1"/>
        <v>0</v>
      </c>
      <c r="Q12" s="172" t="s">
        <v>1538</v>
      </c>
      <c r="R12" s="4">
        <v>0</v>
      </c>
      <c r="S12" s="4">
        <v>0</v>
      </c>
      <c r="T12" s="4">
        <v>0</v>
      </c>
      <c r="U12" s="4">
        <v>0</v>
      </c>
      <c r="W12" s="4" t="s">
        <v>1539</v>
      </c>
    </row>
    <row r="13" spans="2:29" x14ac:dyDescent="0.3">
      <c r="B13" s="1218" t="s">
        <v>709</v>
      </c>
      <c r="C13" s="1219">
        <v>181.702</v>
      </c>
      <c r="D13" s="1219">
        <v>26.525855369999999</v>
      </c>
      <c r="E13" s="1219">
        <v>0</v>
      </c>
      <c r="F13" s="1219">
        <v>0</v>
      </c>
      <c r="G13" s="1219">
        <v>0</v>
      </c>
      <c r="H13" s="1220">
        <v>0</v>
      </c>
      <c r="I13" s="1219">
        <v>0</v>
      </c>
      <c r="J13" s="1219">
        <v>2.2299999999999997E-4</v>
      </c>
      <c r="K13" s="1219">
        <v>0</v>
      </c>
      <c r="L13" s="1219">
        <v>0</v>
      </c>
      <c r="M13" s="1219">
        <v>0.27600000000000002</v>
      </c>
      <c r="N13" s="1219">
        <v>2.4899999999999998E-4</v>
      </c>
      <c r="O13" s="4">
        <f t="shared" si="0"/>
        <v>0</v>
      </c>
      <c r="P13" s="4">
        <v>0</v>
      </c>
      <c r="Q13" s="4" t="s">
        <v>1485</v>
      </c>
      <c r="R13" s="4">
        <v>0</v>
      </c>
      <c r="S13" s="4">
        <v>0</v>
      </c>
      <c r="T13" s="4">
        <v>0</v>
      </c>
      <c r="U13" s="4">
        <v>0</v>
      </c>
    </row>
    <row r="14" spans="2:29" x14ac:dyDescent="0.3">
      <c r="B14" s="1218" t="s">
        <v>757</v>
      </c>
      <c r="C14" s="1219">
        <v>2.2080000000000002</v>
      </c>
      <c r="D14" s="1219">
        <v>0.37399700999999996</v>
      </c>
      <c r="E14" s="1219">
        <v>0.67200000000000004</v>
      </c>
      <c r="F14" s="1219">
        <v>0</v>
      </c>
      <c r="G14" s="1219">
        <v>0.14399999999999999</v>
      </c>
      <c r="H14" s="1220">
        <v>0</v>
      </c>
      <c r="I14" s="1219">
        <v>1.2E-2</v>
      </c>
      <c r="J14" s="1219">
        <v>0</v>
      </c>
      <c r="K14" s="1219">
        <v>0</v>
      </c>
      <c r="L14" s="1219">
        <v>0</v>
      </c>
      <c r="M14" s="1219">
        <v>0</v>
      </c>
      <c r="N14" s="1219">
        <v>0</v>
      </c>
      <c r="O14" s="4">
        <f t="shared" si="0"/>
        <v>0.14399999999999999</v>
      </c>
      <c r="P14" s="4">
        <f>VLOOKUP(B14,$Q$5:$U$40,5,FALSE)</f>
        <v>0</v>
      </c>
      <c r="Q14" s="4" t="s">
        <v>466</v>
      </c>
      <c r="R14" s="4">
        <v>192</v>
      </c>
      <c r="S14" s="4">
        <v>0</v>
      </c>
      <c r="T14" s="4">
        <v>0.192</v>
      </c>
      <c r="U14" s="4">
        <v>0</v>
      </c>
    </row>
    <row r="15" spans="2:29" ht="25.5" customHeight="1" x14ac:dyDescent="0.3">
      <c r="B15" s="1558" t="s">
        <v>1489</v>
      </c>
      <c r="C15" s="1222">
        <f t="shared" ref="C15:H15" si="2">SUM(C5:C14)</f>
        <v>256.36799999999999</v>
      </c>
      <c r="D15" s="1222">
        <f t="shared" si="2"/>
        <v>74.632578659999993</v>
      </c>
      <c r="E15" s="1087">
        <f t="shared" si="2"/>
        <v>49.319999999999993</v>
      </c>
      <c r="F15" s="1087">
        <f t="shared" si="2"/>
        <v>34.895832619999986</v>
      </c>
      <c r="G15" s="1087">
        <f t="shared" si="2"/>
        <v>37.631999999999998</v>
      </c>
      <c r="H15" s="1087">
        <f t="shared" si="2"/>
        <v>1.5164288800000001</v>
      </c>
      <c r="I15" s="1087">
        <v>18.731999999999999</v>
      </c>
      <c r="J15" s="1087">
        <v>1.6280240000000001E-2</v>
      </c>
      <c r="K15" s="1223">
        <f>SUM(K5:K14)</f>
        <v>4.8000000000000001E-2</v>
      </c>
      <c r="L15" s="1223">
        <f>SUM(L5:L14)</f>
        <v>2.3999950000000003E-2</v>
      </c>
      <c r="M15" s="1223">
        <f>SUM(M5:M14)</f>
        <v>0.27600000000000002</v>
      </c>
      <c r="N15" s="1223">
        <f>SUM(N5:N14)</f>
        <v>2.4900999999999998E-4</v>
      </c>
      <c r="Q15" s="172" t="s">
        <v>822</v>
      </c>
      <c r="R15" s="4">
        <v>25092</v>
      </c>
      <c r="S15" s="4">
        <v>6045.883420000001</v>
      </c>
      <c r="T15" s="4">
        <v>25.091999999999999</v>
      </c>
      <c r="U15" s="4">
        <v>6.0458834200000009</v>
      </c>
      <c r="V15" s="4">
        <f>+H15/G15%</f>
        <v>4.0296260629251703</v>
      </c>
      <c r="X15" s="113" t="e">
        <f>+#REF!-G15</f>
        <v>#REF!</v>
      </c>
      <c r="Y15" s="4" t="e">
        <f>+X15/#REF!%</f>
        <v>#REF!</v>
      </c>
      <c r="Z15" s="893">
        <f>+M15/E15</f>
        <v>5.5961070559610721E-3</v>
      </c>
      <c r="AA15" s="894">
        <f>+N15/F15</f>
        <v>7.1358091010926013E-6</v>
      </c>
      <c r="AB15" s="2036">
        <f>1-M15/E15</f>
        <v>0.99440389294403897</v>
      </c>
      <c r="AC15" s="882">
        <f>1-N15/E15</f>
        <v>0.99999495113544201</v>
      </c>
    </row>
    <row r="16" spans="2:29" x14ac:dyDescent="0.3">
      <c r="B16" s="1218" t="s">
        <v>1490</v>
      </c>
      <c r="C16" s="1219">
        <v>0</v>
      </c>
      <c r="D16" s="1219">
        <v>0</v>
      </c>
      <c r="E16" s="1219">
        <v>0</v>
      </c>
      <c r="F16" s="1219">
        <v>0</v>
      </c>
      <c r="G16" s="1219">
        <v>0</v>
      </c>
      <c r="H16" s="1218">
        <v>0</v>
      </c>
      <c r="I16" s="1218">
        <v>0</v>
      </c>
      <c r="J16" s="1218">
        <v>0</v>
      </c>
      <c r="K16" s="1219">
        <v>0</v>
      </c>
      <c r="L16" s="1219">
        <v>0</v>
      </c>
      <c r="M16" s="1219">
        <v>0</v>
      </c>
      <c r="N16" s="1219">
        <v>0</v>
      </c>
      <c r="O16" s="4">
        <f>VLOOKUP(B16,$Q$5:$U$40,4,FALSE)</f>
        <v>0</v>
      </c>
      <c r="P16" s="4">
        <f>VLOOKUP(B16,$Q$5:$U$40,5,FALSE)</f>
        <v>0</v>
      </c>
      <c r="Q16" s="4" t="s">
        <v>507</v>
      </c>
      <c r="R16" s="4">
        <v>0</v>
      </c>
      <c r="S16" s="4">
        <v>0.45799999999999996</v>
      </c>
      <c r="T16" s="4">
        <v>0</v>
      </c>
      <c r="U16" s="4">
        <v>4.5799999999999997E-4</v>
      </c>
      <c r="X16" s="173">
        <v>0.62847222222222221</v>
      </c>
    </row>
    <row r="17" spans="2:29" x14ac:dyDescent="0.3">
      <c r="B17" s="1218" t="s">
        <v>426</v>
      </c>
      <c r="C17" s="1219">
        <v>212.73599999999999</v>
      </c>
      <c r="D17" s="1219">
        <v>212.35471595999999</v>
      </c>
      <c r="E17" s="1219">
        <v>170.208</v>
      </c>
      <c r="F17" s="1219">
        <v>169.77082458999942</v>
      </c>
      <c r="G17" s="1219">
        <v>127.63200000000001</v>
      </c>
      <c r="H17" s="1219">
        <v>48.363492190000002</v>
      </c>
      <c r="I17" s="1219">
        <v>63.84</v>
      </c>
      <c r="J17" s="1219">
        <v>24.717618099999992</v>
      </c>
      <c r="K17" s="1219">
        <v>25.536000000000001</v>
      </c>
      <c r="L17" s="1219">
        <v>7.4458161099999991</v>
      </c>
      <c r="M17" s="1219">
        <v>48.384</v>
      </c>
      <c r="N17" s="1219">
        <v>5.9240658600000007</v>
      </c>
      <c r="O17" s="4">
        <f>VLOOKUP(B17,$Q$5:$U$40,4,FALSE)</f>
        <v>127.63200000000001</v>
      </c>
      <c r="P17" s="4">
        <f>VLOOKUP(B17,$Q$5:$U$40,5,FALSE)</f>
        <v>48.363492190000002</v>
      </c>
      <c r="Q17" s="4" t="s">
        <v>538</v>
      </c>
      <c r="R17" s="4">
        <v>4032</v>
      </c>
      <c r="S17" s="4">
        <v>119.99588</v>
      </c>
      <c r="T17" s="4">
        <v>4.032</v>
      </c>
      <c r="U17" s="4">
        <v>0.11999588</v>
      </c>
    </row>
    <row r="18" spans="2:29" ht="33" x14ac:dyDescent="0.3">
      <c r="B18" s="1218" t="s">
        <v>541</v>
      </c>
      <c r="C18" s="1219">
        <v>90</v>
      </c>
      <c r="D18" s="1219">
        <v>83.195582619999996</v>
      </c>
      <c r="E18" s="1219">
        <v>72</v>
      </c>
      <c r="F18" s="1219">
        <v>68.899582259999988</v>
      </c>
      <c r="G18" s="1219">
        <v>54</v>
      </c>
      <c r="H18" s="1219">
        <v>18.949755499999998</v>
      </c>
      <c r="I18" s="1219">
        <v>26.975999999999999</v>
      </c>
      <c r="J18" s="1219">
        <v>10.645842939999998</v>
      </c>
      <c r="K18" s="1219">
        <v>10.8</v>
      </c>
      <c r="L18" s="1219">
        <v>3.7918995600000005</v>
      </c>
      <c r="M18" s="1219">
        <v>18.96</v>
      </c>
      <c r="N18" s="1219">
        <v>3.9240560900000001</v>
      </c>
      <c r="O18" s="4">
        <f>VLOOKUP(B18,$Q$5:$U$40,4,FALSE)</f>
        <v>54</v>
      </c>
      <c r="P18" s="4">
        <f>VLOOKUP(B18,$Q$5:$U$40,5,FALSE)</f>
        <v>18.949755499999998</v>
      </c>
      <c r="Q18" s="172" t="s">
        <v>1521</v>
      </c>
      <c r="R18" s="4">
        <v>30624</v>
      </c>
      <c r="S18" s="4">
        <v>761.97783000000004</v>
      </c>
      <c r="T18" s="4">
        <v>30.623999999999999</v>
      </c>
      <c r="U18" s="4">
        <v>0.76197783000000008</v>
      </c>
    </row>
    <row r="19" spans="2:29" x14ac:dyDescent="0.3">
      <c r="B19" s="1218" t="s">
        <v>631</v>
      </c>
      <c r="C19" s="1219">
        <v>194.304</v>
      </c>
      <c r="D19" s="1219">
        <v>190.29146752000005</v>
      </c>
      <c r="E19" s="1219">
        <v>155.42400000000001</v>
      </c>
      <c r="F19" s="1219">
        <v>150.3134870199998</v>
      </c>
      <c r="G19" s="1219">
        <v>116.544</v>
      </c>
      <c r="H19" s="1219">
        <v>28.657705779999993</v>
      </c>
      <c r="I19" s="1219">
        <v>51.887999999999998</v>
      </c>
      <c r="J19" s="1219">
        <v>19.283795829999999</v>
      </c>
      <c r="K19" s="1219">
        <v>19.776</v>
      </c>
      <c r="L19" s="1219">
        <v>6.9361492539999992</v>
      </c>
      <c r="M19" s="1219">
        <v>28.655999999999999</v>
      </c>
      <c r="N19" s="1219">
        <v>7.9081915599999997</v>
      </c>
      <c r="O19" s="4">
        <f>VLOOKUP(B19,$Q$5:$U$40,4,FALSE)</f>
        <v>116.544</v>
      </c>
      <c r="P19" s="4">
        <f>VLOOKUP(B19,$Q$5:$U$40,5,FALSE)</f>
        <v>28.657705779999993</v>
      </c>
      <c r="Q19" s="4" t="s">
        <v>541</v>
      </c>
      <c r="R19" s="4">
        <v>54000</v>
      </c>
      <c r="S19" s="4">
        <v>18949.755499999999</v>
      </c>
      <c r="T19" s="4">
        <v>54</v>
      </c>
      <c r="U19" s="4">
        <v>18.949755499999998</v>
      </c>
    </row>
    <row r="20" spans="2:29" s="174" customFormat="1" x14ac:dyDescent="0.3">
      <c r="B20" s="1218" t="s">
        <v>225</v>
      </c>
      <c r="C20" s="1219">
        <v>704.01599999999996</v>
      </c>
      <c r="D20" s="1219">
        <v>696.51241372999993</v>
      </c>
      <c r="E20" s="1219">
        <v>704.01599999999996</v>
      </c>
      <c r="F20" s="1219">
        <v>689.65344277800011</v>
      </c>
      <c r="G20" s="1219">
        <v>462.69600000000003</v>
      </c>
      <c r="H20" s="1219">
        <v>171.53976864999998</v>
      </c>
      <c r="I20" s="1219">
        <v>615.28800000000001</v>
      </c>
      <c r="J20" s="1219">
        <v>248.28899999999999</v>
      </c>
      <c r="K20" s="1219">
        <v>309.12</v>
      </c>
      <c r="L20" s="1219">
        <v>242.03871712999998</v>
      </c>
      <c r="M20" s="1219">
        <v>248.304</v>
      </c>
      <c r="N20" s="1219">
        <v>243.90174235999996</v>
      </c>
      <c r="O20" s="4">
        <f>VLOOKUP(B20,$Q$5:$U$40,4,FALSE)</f>
        <v>462.69600000000003</v>
      </c>
      <c r="P20" s="4">
        <f>VLOOKUP(B20,$Q$5:$U$40,5,FALSE)</f>
        <v>171.53976864999998</v>
      </c>
      <c r="Q20" s="174" t="s">
        <v>550</v>
      </c>
      <c r="R20" s="174">
        <v>17856</v>
      </c>
      <c r="S20" s="174">
        <v>6343.95406</v>
      </c>
      <c r="T20" s="4">
        <v>17.856000000000002</v>
      </c>
      <c r="U20" s="4">
        <v>6.3439540599999997</v>
      </c>
    </row>
    <row r="21" spans="2:29" x14ac:dyDescent="0.3">
      <c r="B21" s="1398" t="s">
        <v>1491</v>
      </c>
      <c r="C21" s="1222">
        <f t="shared" ref="C21:H21" si="3">SUM(C16:C20)</f>
        <v>1201.056</v>
      </c>
      <c r="D21" s="1222">
        <f t="shared" si="3"/>
        <v>1182.35417983</v>
      </c>
      <c r="E21" s="1087">
        <f t="shared" si="3"/>
        <v>1101.6479999999999</v>
      </c>
      <c r="F21" s="1087">
        <f t="shared" si="3"/>
        <v>1078.6373366479993</v>
      </c>
      <c r="G21" s="1087">
        <f t="shared" si="3"/>
        <v>760.87200000000007</v>
      </c>
      <c r="H21" s="1087">
        <f t="shared" si="3"/>
        <v>267.51072211999997</v>
      </c>
      <c r="I21" s="1087">
        <v>757.99199999999996</v>
      </c>
      <c r="J21" s="1087">
        <v>302.93625686999997</v>
      </c>
      <c r="K21" s="1087">
        <f>SUM(K16:K20)</f>
        <v>365.23199999999997</v>
      </c>
      <c r="L21" s="1087">
        <f>SUM(L16:L20)</f>
        <v>260.21258205399999</v>
      </c>
      <c r="M21" s="1087">
        <f>SUM(M16:M20)</f>
        <v>344.30399999999997</v>
      </c>
      <c r="N21" s="1087">
        <f>SUM(N16:N20)</f>
        <v>261.65805586999994</v>
      </c>
      <c r="Q21" s="4" t="s">
        <v>568</v>
      </c>
      <c r="R21" s="4">
        <v>15552</v>
      </c>
      <c r="S21" s="4">
        <v>15551.881319999999</v>
      </c>
      <c r="T21" s="4">
        <v>15.552</v>
      </c>
      <c r="U21" s="4">
        <v>15.551881319999998</v>
      </c>
      <c r="V21" s="4">
        <f>+H21/G21%</f>
        <v>35.158439543050598</v>
      </c>
      <c r="X21" s="113" t="e">
        <f>+#REF!-G21</f>
        <v>#REF!</v>
      </c>
      <c r="Y21" s="4" t="e">
        <f>+X21/#REF!%</f>
        <v>#REF!</v>
      </c>
      <c r="Z21" s="893">
        <f>+M21/E21</f>
        <v>0.3125354015075596</v>
      </c>
      <c r="AA21" s="894">
        <f>+N21/F21</f>
        <v>0.24258204957296875</v>
      </c>
      <c r="AB21" s="2036">
        <f>1-M21/E21</f>
        <v>0.68746459849244035</v>
      </c>
      <c r="AC21" s="2036">
        <f>1-N21/E21</f>
        <v>0.76248488095108424</v>
      </c>
    </row>
    <row r="22" spans="2:29" x14ac:dyDescent="0.3">
      <c r="B22" s="1218" t="s">
        <v>220</v>
      </c>
      <c r="C22" s="1219">
        <v>4.7519999999999998</v>
      </c>
      <c r="D22" s="1219">
        <v>3.6988702399999993</v>
      </c>
      <c r="E22" s="1219">
        <v>3.3119999999999998</v>
      </c>
      <c r="F22" s="1219">
        <v>2.8918966400000015</v>
      </c>
      <c r="G22" s="1219">
        <v>2.976</v>
      </c>
      <c r="H22" s="1219">
        <v>0.16498633000000001</v>
      </c>
      <c r="I22" s="1219">
        <v>2.0640000000000001</v>
      </c>
      <c r="J22" s="1219">
        <v>4.7996049999999998E-2</v>
      </c>
      <c r="K22" s="1219">
        <v>4.8000000000000001E-2</v>
      </c>
      <c r="L22" s="1221">
        <v>3.699645E-2</v>
      </c>
      <c r="M22" s="1219">
        <v>0.192</v>
      </c>
      <c r="N22" s="1219">
        <v>4.5999869999999998E-2</v>
      </c>
      <c r="O22" s="4">
        <f t="shared" ref="O22:O29" si="4">VLOOKUP(B22,$Q$5:$U$40,4,FALSE)</f>
        <v>2.976</v>
      </c>
      <c r="P22" s="4">
        <f t="shared" ref="P22:P29" si="5">VLOOKUP(B22,$Q$5:$U$40,5,FALSE)</f>
        <v>0.16498633000000001</v>
      </c>
      <c r="Q22" s="172" t="s">
        <v>1488</v>
      </c>
      <c r="R22" s="4">
        <v>2832</v>
      </c>
      <c r="S22" s="4">
        <v>633.99716999999998</v>
      </c>
      <c r="T22" s="4">
        <v>2.8319999999999999</v>
      </c>
      <c r="U22" s="4">
        <v>0.63399717</v>
      </c>
    </row>
    <row r="23" spans="2:29" x14ac:dyDescent="0.3">
      <c r="B23" s="1218" t="s">
        <v>331</v>
      </c>
      <c r="C23" s="1219">
        <v>155.56800000000001</v>
      </c>
      <c r="D23" s="1219">
        <v>153.14268370999997</v>
      </c>
      <c r="E23" s="1219">
        <v>124.464</v>
      </c>
      <c r="F23" s="1219">
        <v>117.29886016999993</v>
      </c>
      <c r="G23" s="1219">
        <v>99.552000000000007</v>
      </c>
      <c r="H23" s="1219">
        <v>12.715649880000001</v>
      </c>
      <c r="I23" s="1219">
        <v>49.776000000000003</v>
      </c>
      <c r="J23" s="1219">
        <v>10.305714700000001</v>
      </c>
      <c r="K23" s="1219">
        <v>10.8</v>
      </c>
      <c r="L23" s="1219">
        <v>5.1358099499999996</v>
      </c>
      <c r="M23" s="1219">
        <v>7.23</v>
      </c>
      <c r="N23" s="1219">
        <v>3.8160398699999996</v>
      </c>
      <c r="O23" s="4">
        <f t="shared" si="4"/>
        <v>99.552000000000007</v>
      </c>
      <c r="P23" s="4">
        <f t="shared" si="5"/>
        <v>12.715649880000001</v>
      </c>
      <c r="Q23" s="172" t="s">
        <v>1500</v>
      </c>
      <c r="R23" s="4">
        <v>432</v>
      </c>
      <c r="S23" s="4">
        <v>23.999950000000002</v>
      </c>
      <c r="T23" s="4">
        <v>0.432</v>
      </c>
      <c r="U23" s="4">
        <v>2.3999950000000003E-2</v>
      </c>
    </row>
    <row r="24" spans="2:29" x14ac:dyDescent="0.3">
      <c r="B24" s="1218" t="s">
        <v>1492</v>
      </c>
      <c r="C24" s="1219">
        <v>11.087999999999999</v>
      </c>
      <c r="D24" s="1219">
        <v>11.25187642</v>
      </c>
      <c r="E24" s="1219">
        <v>9.984</v>
      </c>
      <c r="F24" s="1219">
        <v>9.983882190000001</v>
      </c>
      <c r="G24" s="1219">
        <v>8.9760000000000009</v>
      </c>
      <c r="H24" s="1219">
        <v>2.6159670699999995</v>
      </c>
      <c r="I24" s="1219">
        <v>4.4640000000000004</v>
      </c>
      <c r="J24" s="1219">
        <v>2.6759727099999995</v>
      </c>
      <c r="K24" s="1219">
        <v>1.776</v>
      </c>
      <c r="L24" s="1219">
        <v>1.7759792499999998</v>
      </c>
      <c r="M24" s="1219">
        <v>2.6880000000000002</v>
      </c>
      <c r="N24" s="1219">
        <v>2.8439945199999994</v>
      </c>
      <c r="O24" s="4">
        <f t="shared" si="4"/>
        <v>8.9760000000000009</v>
      </c>
      <c r="P24" s="4">
        <f t="shared" si="5"/>
        <v>2.6159670699999995</v>
      </c>
      <c r="Q24" s="4" t="s">
        <v>578</v>
      </c>
      <c r="R24" s="4">
        <v>120000</v>
      </c>
      <c r="S24" s="4">
        <v>3380.8931200000002</v>
      </c>
      <c r="T24" s="4">
        <v>120</v>
      </c>
      <c r="U24" s="4">
        <v>3.3808931200000001</v>
      </c>
    </row>
    <row r="25" spans="2:29" x14ac:dyDescent="0.3">
      <c r="B25" s="1218" t="s">
        <v>1493</v>
      </c>
      <c r="C25" s="1219">
        <v>18.864000000000001</v>
      </c>
      <c r="D25" s="1219">
        <v>17.891849280000002</v>
      </c>
      <c r="E25" s="1219">
        <v>16.992000000000001</v>
      </c>
      <c r="F25" s="1219">
        <v>15.959831240000005</v>
      </c>
      <c r="G25" s="1219">
        <v>15.311999999999999</v>
      </c>
      <c r="H25" s="1219">
        <v>2.5319242499999994</v>
      </c>
      <c r="I25" s="1219">
        <v>10.704000000000001</v>
      </c>
      <c r="J25" s="1219">
        <v>3.0119282999999997</v>
      </c>
      <c r="K25" s="1219">
        <v>3.0720000000000001</v>
      </c>
      <c r="L25" s="1219">
        <v>1.8839385799999997</v>
      </c>
      <c r="M25" s="1219">
        <v>3.024</v>
      </c>
      <c r="N25" s="1219">
        <v>1.8860222999999998</v>
      </c>
      <c r="O25" s="4">
        <f t="shared" si="4"/>
        <v>15.311999999999999</v>
      </c>
      <c r="P25" s="4">
        <f t="shared" si="5"/>
        <v>2.5319242499999994</v>
      </c>
      <c r="Q25" s="4" t="s">
        <v>606</v>
      </c>
      <c r="R25" s="4">
        <v>16752</v>
      </c>
      <c r="S25" s="4">
        <v>3911.9719500000001</v>
      </c>
      <c r="T25" s="4">
        <v>16.751999999999999</v>
      </c>
      <c r="U25" s="4">
        <v>3.9119719500000003</v>
      </c>
    </row>
    <row r="26" spans="2:29" x14ac:dyDescent="0.3">
      <c r="B26" s="1218" t="s">
        <v>1494</v>
      </c>
      <c r="C26" s="1219">
        <v>3.2160000000000002</v>
      </c>
      <c r="D26" s="1219">
        <v>3.1918629399999996</v>
      </c>
      <c r="E26" s="1219">
        <v>2.88</v>
      </c>
      <c r="F26" s="1219">
        <v>2.6878807699999983</v>
      </c>
      <c r="G26" s="1219">
        <v>2.5920000000000001</v>
      </c>
      <c r="H26" s="1219">
        <v>0.14399195999999997</v>
      </c>
      <c r="I26" s="1219">
        <v>1.296</v>
      </c>
      <c r="J26" s="1219">
        <v>0.11999458999999998</v>
      </c>
      <c r="K26" s="1219">
        <v>0.14399999999999999</v>
      </c>
      <c r="L26" s="1220">
        <v>0.10799396999999999</v>
      </c>
      <c r="M26" s="1219">
        <v>0.14399999999999999</v>
      </c>
      <c r="N26" s="1219">
        <v>9.6001859999999994E-2</v>
      </c>
      <c r="O26" s="4">
        <f t="shared" si="4"/>
        <v>2.5920000000000001</v>
      </c>
      <c r="P26" s="4">
        <f t="shared" si="5"/>
        <v>0.14399195999999997</v>
      </c>
      <c r="Q26" s="4" t="s">
        <v>1492</v>
      </c>
      <c r="R26" s="4">
        <v>8976</v>
      </c>
      <c r="S26" s="4">
        <v>2615.9670699999997</v>
      </c>
      <c r="T26" s="4">
        <v>8.9760000000000009</v>
      </c>
      <c r="U26" s="4">
        <v>2.6159670699999995</v>
      </c>
    </row>
    <row r="27" spans="2:29" x14ac:dyDescent="0.3">
      <c r="B27" s="1218" t="s">
        <v>1495</v>
      </c>
      <c r="C27" s="1219">
        <v>8.5920000000000005</v>
      </c>
      <c r="D27" s="1219">
        <v>8.4388086899999983</v>
      </c>
      <c r="E27" s="1219">
        <v>7.7279999999999998</v>
      </c>
      <c r="F27" s="1219">
        <v>7.7188038899999976</v>
      </c>
      <c r="G27" s="1219">
        <v>6.96</v>
      </c>
      <c r="H27" s="1219">
        <v>1.1219490299999997</v>
      </c>
      <c r="I27" s="1219">
        <v>4.8479999999999999</v>
      </c>
      <c r="J27" s="1219">
        <v>1.0169490899999998</v>
      </c>
      <c r="K27" s="1219">
        <v>0.96</v>
      </c>
      <c r="L27" s="1219">
        <v>0</v>
      </c>
      <c r="M27" s="1219">
        <v>0</v>
      </c>
      <c r="N27" s="1219">
        <v>0</v>
      </c>
      <c r="O27" s="4">
        <f t="shared" si="4"/>
        <v>6.96</v>
      </c>
      <c r="P27" s="4">
        <f t="shared" si="5"/>
        <v>1.1219490299999997</v>
      </c>
      <c r="Q27" s="4" t="s">
        <v>1493</v>
      </c>
      <c r="R27" s="4">
        <v>15312</v>
      </c>
      <c r="S27" s="4">
        <v>2531.9242499999996</v>
      </c>
      <c r="T27" s="4">
        <v>15.311999999999999</v>
      </c>
      <c r="U27" s="4">
        <v>2.5319242499999994</v>
      </c>
    </row>
    <row r="28" spans="2:29" x14ac:dyDescent="0.3">
      <c r="B28" s="1218" t="s">
        <v>1496</v>
      </c>
      <c r="C28" s="1219">
        <v>2.2559999999999998</v>
      </c>
      <c r="D28" s="1219">
        <v>2.1089574600000001</v>
      </c>
      <c r="E28" s="1219">
        <v>22.655999999999999</v>
      </c>
      <c r="F28" s="1219">
        <v>22.489840140000013</v>
      </c>
      <c r="G28" s="1219">
        <v>1.8240000000000001</v>
      </c>
      <c r="H28" s="1219">
        <v>0.23998359</v>
      </c>
      <c r="I28" s="1219">
        <v>0.91200000000000003</v>
      </c>
      <c r="J28" s="1219">
        <v>0.19798913999999995</v>
      </c>
      <c r="K28" s="1219">
        <v>0.24</v>
      </c>
      <c r="L28" s="1221">
        <v>3.5996719999999996E-2</v>
      </c>
      <c r="M28" s="2375">
        <v>0.12</v>
      </c>
      <c r="N28" s="1219">
        <v>0</v>
      </c>
      <c r="O28" s="4">
        <f t="shared" si="4"/>
        <v>1.8240000000000001</v>
      </c>
      <c r="P28" s="4">
        <f t="shared" si="5"/>
        <v>0.23998359</v>
      </c>
      <c r="Q28" s="4" t="s">
        <v>1494</v>
      </c>
      <c r="R28" s="4">
        <v>2592</v>
      </c>
      <c r="S28" s="4">
        <v>143.99195999999998</v>
      </c>
      <c r="T28" s="4">
        <v>2.5920000000000001</v>
      </c>
      <c r="U28" s="4">
        <v>0.14399195999999997</v>
      </c>
    </row>
    <row r="29" spans="2:29" x14ac:dyDescent="0.3">
      <c r="B29" s="1218" t="s">
        <v>390</v>
      </c>
      <c r="C29" s="1219">
        <v>25.152000000000001</v>
      </c>
      <c r="D29" s="1219">
        <v>25.088827209999998</v>
      </c>
      <c r="E29" s="1219">
        <v>2.016</v>
      </c>
      <c r="F29" s="1219">
        <v>1.9709612299999992</v>
      </c>
      <c r="G29" s="1219">
        <v>20.399999999999999</v>
      </c>
      <c r="H29" s="1219">
        <v>8.3738684699999997</v>
      </c>
      <c r="I29" s="1219">
        <v>14.256</v>
      </c>
      <c r="J29" s="1219">
        <v>9.1158749500000003</v>
      </c>
      <c r="K29" s="1219">
        <v>5.7119999999999997</v>
      </c>
      <c r="L29" s="1219">
        <v>5.0238799199999997</v>
      </c>
      <c r="M29" s="2375">
        <v>9.1199999999999992</v>
      </c>
      <c r="N29" s="1219">
        <v>6.1960671099999995</v>
      </c>
      <c r="O29" s="4">
        <f t="shared" si="4"/>
        <v>20.399999999999999</v>
      </c>
      <c r="P29" s="4">
        <f t="shared" si="5"/>
        <v>8.3738684699999997</v>
      </c>
      <c r="Q29" s="4" t="s">
        <v>1495</v>
      </c>
      <c r="R29" s="4">
        <v>6960</v>
      </c>
      <c r="S29" s="4">
        <v>1121.9490299999998</v>
      </c>
      <c r="T29" s="4">
        <v>6.96</v>
      </c>
      <c r="U29" s="4">
        <v>1.1219490299999997</v>
      </c>
    </row>
    <row r="30" spans="2:29" ht="30" x14ac:dyDescent="0.3">
      <c r="B30" s="1398" t="s">
        <v>1497</v>
      </c>
      <c r="C30" s="1222">
        <f t="shared" ref="C30:H30" si="6">SUM(C22:C29)</f>
        <v>229.48800000000006</v>
      </c>
      <c r="D30" s="1222">
        <f t="shared" si="6"/>
        <v>224.81373594999997</v>
      </c>
      <c r="E30" s="1087">
        <f t="shared" si="6"/>
        <v>190.03199999999998</v>
      </c>
      <c r="F30" s="1087">
        <f t="shared" si="6"/>
        <v>181.00195626999994</v>
      </c>
      <c r="G30" s="1087">
        <f t="shared" si="6"/>
        <v>158.59200000000004</v>
      </c>
      <c r="H30" s="1087">
        <f t="shared" si="6"/>
        <v>27.908320580000002</v>
      </c>
      <c r="I30" s="1087">
        <v>88.320000000000022</v>
      </c>
      <c r="J30" s="1087">
        <v>26.492419530000006</v>
      </c>
      <c r="K30" s="1087">
        <f>SUM(K22:K29)</f>
        <v>22.751999999999999</v>
      </c>
      <c r="L30" s="1087">
        <f>SUM(L22:L29)</f>
        <v>14.000594840000002</v>
      </c>
      <c r="M30" s="2376">
        <f>SUM(M22:M29)</f>
        <v>22.518000000000001</v>
      </c>
      <c r="N30" s="2184">
        <f>SUM(N22:N29)</f>
        <v>14.884125529999999</v>
      </c>
      <c r="Q30" s="4" t="s">
        <v>631</v>
      </c>
      <c r="R30" s="4">
        <v>116544</v>
      </c>
      <c r="S30" s="4">
        <v>28657.705779999993</v>
      </c>
      <c r="T30" s="4">
        <v>116.544</v>
      </c>
      <c r="U30" s="4">
        <v>28.657705779999993</v>
      </c>
      <c r="V30" s="4">
        <f>+H30/G30%</f>
        <v>17.597558880649714</v>
      </c>
      <c r="X30" s="113" t="e">
        <f>+#REF!-G30</f>
        <v>#REF!</v>
      </c>
      <c r="Y30" s="4" t="e">
        <f>+X30/#REF!%</f>
        <v>#REF!</v>
      </c>
      <c r="Z30" s="893">
        <f>+M30/E30</f>
        <v>0.11849583228087902</v>
      </c>
      <c r="AA30" s="894">
        <f>+N30/F30</f>
        <v>8.2231848962988033E-2</v>
      </c>
      <c r="AB30" s="2036">
        <f>1-M30/E30</f>
        <v>0.88150416771912099</v>
      </c>
      <c r="AC30" s="2036">
        <f>1-N30/E30</f>
        <v>0.92167568867348659</v>
      </c>
    </row>
    <row r="31" spans="2:29" x14ac:dyDescent="0.3">
      <c r="B31" s="1218" t="s">
        <v>452</v>
      </c>
      <c r="C31" s="1219">
        <v>58.271999999999998</v>
      </c>
      <c r="D31" s="1219">
        <v>56.094794190000002</v>
      </c>
      <c r="E31" s="1219">
        <v>46.607999999999997</v>
      </c>
      <c r="F31" s="1219">
        <v>43.925277719999919</v>
      </c>
      <c r="G31" s="1219">
        <v>34.944000000000003</v>
      </c>
      <c r="H31" s="1219">
        <v>9.6979909700000011</v>
      </c>
      <c r="I31" s="1219">
        <v>16.559999999999999</v>
      </c>
      <c r="J31" s="1219">
        <v>6.3355100000000002</v>
      </c>
      <c r="K31" s="1219">
        <v>6.6239999999999997</v>
      </c>
      <c r="L31" s="1219">
        <v>3.4951594240000001</v>
      </c>
      <c r="M31" s="2375">
        <v>9.6959999999999997</v>
      </c>
      <c r="N31" s="1219">
        <v>4.3156286599999998</v>
      </c>
      <c r="O31" s="4">
        <f t="shared" ref="O31:O36" si="7">VLOOKUP(B31,$Q$5:$U$40,4,FALSE)</f>
        <v>34.944000000000003</v>
      </c>
      <c r="P31" s="4">
        <f t="shared" ref="P31:P36" si="8">VLOOKUP(B31,$Q$5:$U$40,5,FALSE)</f>
        <v>9.6979909700000011</v>
      </c>
      <c r="Q31" s="4" t="s">
        <v>851</v>
      </c>
      <c r="R31" s="4">
        <v>0</v>
      </c>
      <c r="S31" s="4">
        <v>0</v>
      </c>
      <c r="T31" s="4">
        <v>0</v>
      </c>
      <c r="U31" s="4">
        <v>0</v>
      </c>
      <c r="AB31" s="2036"/>
      <c r="AC31" s="2036"/>
    </row>
    <row r="32" spans="2:29" ht="33" x14ac:dyDescent="0.3">
      <c r="B32" s="1218" t="s">
        <v>1538</v>
      </c>
      <c r="C32" s="1219">
        <v>0</v>
      </c>
      <c r="D32" s="1219">
        <v>0</v>
      </c>
      <c r="E32" s="1219">
        <v>0</v>
      </c>
      <c r="F32" s="1219">
        <v>0</v>
      </c>
      <c r="G32" s="1219">
        <v>0</v>
      </c>
      <c r="H32" s="1219">
        <v>0</v>
      </c>
      <c r="I32" s="1219">
        <v>0</v>
      </c>
      <c r="J32" s="1219">
        <v>0</v>
      </c>
      <c r="K32" s="1219">
        <v>0</v>
      </c>
      <c r="L32" s="1219">
        <v>0</v>
      </c>
      <c r="M32" s="2375">
        <v>0</v>
      </c>
      <c r="N32" s="1219">
        <v>0</v>
      </c>
      <c r="O32" s="4">
        <f t="shared" si="7"/>
        <v>0</v>
      </c>
      <c r="P32" s="4">
        <f t="shared" si="8"/>
        <v>0</v>
      </c>
      <c r="Q32" s="4" t="s">
        <v>645</v>
      </c>
      <c r="R32" s="4">
        <v>0</v>
      </c>
      <c r="S32" s="4">
        <v>0</v>
      </c>
      <c r="T32" s="4">
        <v>0</v>
      </c>
      <c r="U32" s="4">
        <v>0</v>
      </c>
      <c r="AB32" s="2036"/>
      <c r="AC32" s="2036"/>
    </row>
    <row r="33" spans="2:29" x14ac:dyDescent="0.3">
      <c r="B33" s="1218" t="s">
        <v>466</v>
      </c>
      <c r="C33" s="1219">
        <v>0.38400000000000001</v>
      </c>
      <c r="D33" s="1219">
        <v>0.38399330000000004</v>
      </c>
      <c r="E33" s="1219">
        <v>0.28799999999999998</v>
      </c>
      <c r="F33" s="1219">
        <v>0.28799464000000002</v>
      </c>
      <c r="G33" s="1219">
        <v>0.192</v>
      </c>
      <c r="H33" s="1219">
        <v>0</v>
      </c>
      <c r="I33" s="1219">
        <v>0</v>
      </c>
      <c r="J33" s="1219">
        <v>0</v>
      </c>
      <c r="K33" s="1219">
        <v>0</v>
      </c>
      <c r="L33" s="1219">
        <v>0</v>
      </c>
      <c r="M33" s="2375">
        <v>0</v>
      </c>
      <c r="N33" s="1219">
        <v>0</v>
      </c>
      <c r="O33" s="4">
        <f t="shared" si="7"/>
        <v>0.192</v>
      </c>
      <c r="P33" s="4">
        <f t="shared" si="8"/>
        <v>0</v>
      </c>
      <c r="Q33" s="4" t="s">
        <v>223</v>
      </c>
      <c r="R33" s="4">
        <v>0</v>
      </c>
      <c r="S33" s="4">
        <v>0</v>
      </c>
      <c r="T33" s="4">
        <v>0</v>
      </c>
      <c r="U33" s="4">
        <v>0</v>
      </c>
      <c r="AB33" s="2036"/>
      <c r="AC33" s="2036"/>
    </row>
    <row r="34" spans="2:29" x14ac:dyDescent="0.3">
      <c r="B34" s="1218" t="s">
        <v>822</v>
      </c>
      <c r="C34" s="1219">
        <v>84</v>
      </c>
      <c r="D34" s="1219">
        <v>83.059138269999991</v>
      </c>
      <c r="E34" s="1219">
        <v>55.8</v>
      </c>
      <c r="F34" s="1219">
        <v>53.709272229999861</v>
      </c>
      <c r="G34" s="1219">
        <v>25.091999999999999</v>
      </c>
      <c r="H34" s="1219">
        <v>6.0458834200000009</v>
      </c>
      <c r="I34" s="1219">
        <v>0</v>
      </c>
      <c r="J34" s="1219">
        <v>0</v>
      </c>
      <c r="K34" s="1219">
        <v>0</v>
      </c>
      <c r="L34" s="1219">
        <v>0</v>
      </c>
      <c r="M34" s="2375">
        <v>0</v>
      </c>
      <c r="N34" s="1219">
        <v>1.3000000000000003E-7</v>
      </c>
      <c r="O34" s="4">
        <f t="shared" si="7"/>
        <v>25.091999999999999</v>
      </c>
      <c r="P34" s="4">
        <f t="shared" si="8"/>
        <v>6.0458834200000009</v>
      </c>
      <c r="Q34" s="4" t="s">
        <v>1496</v>
      </c>
      <c r="R34" s="4">
        <v>1824</v>
      </c>
      <c r="S34" s="4">
        <v>239.98358999999999</v>
      </c>
      <c r="T34" s="4">
        <v>1.8240000000000001</v>
      </c>
      <c r="U34" s="4">
        <v>0.23998359</v>
      </c>
      <c r="AB34" s="2036"/>
      <c r="AC34" s="2036"/>
    </row>
    <row r="35" spans="2:29" x14ac:dyDescent="0.3">
      <c r="B35" s="1218" t="s">
        <v>578</v>
      </c>
      <c r="C35" s="1219">
        <v>213.40799999999999</v>
      </c>
      <c r="D35" s="1219">
        <v>187.13198168000002</v>
      </c>
      <c r="E35" s="1219">
        <v>160.03200000000001</v>
      </c>
      <c r="F35" s="1219">
        <v>116.76212550699978</v>
      </c>
      <c r="G35" s="1219">
        <v>120</v>
      </c>
      <c r="H35" s="1219">
        <v>3.3808931200000001</v>
      </c>
      <c r="I35" s="1219">
        <v>32.880000000000003</v>
      </c>
      <c r="J35" s="1219">
        <v>0.37199318999999997</v>
      </c>
      <c r="K35" s="1219">
        <v>0.432</v>
      </c>
      <c r="L35" s="1221">
        <v>1.2E-2</v>
      </c>
      <c r="M35" s="2375">
        <v>0</v>
      </c>
      <c r="N35" s="1219">
        <v>0</v>
      </c>
      <c r="O35" s="4">
        <f t="shared" si="7"/>
        <v>120</v>
      </c>
      <c r="P35" s="4">
        <f t="shared" si="8"/>
        <v>3.3808931200000001</v>
      </c>
      <c r="Q35" s="4" t="s">
        <v>224</v>
      </c>
      <c r="R35" s="4">
        <v>54240</v>
      </c>
      <c r="S35" s="4">
        <v>54223.039759999985</v>
      </c>
      <c r="T35" s="4">
        <v>54.24</v>
      </c>
      <c r="U35" s="4">
        <v>54.223039759999985</v>
      </c>
      <c r="AB35" s="2036"/>
      <c r="AC35" s="2036"/>
    </row>
    <row r="36" spans="2:29" x14ac:dyDescent="0.3">
      <c r="B36" s="1218" t="s">
        <v>606</v>
      </c>
      <c r="C36" s="1219">
        <v>46.527999999999999</v>
      </c>
      <c r="D36" s="1219">
        <v>21.557770040000005</v>
      </c>
      <c r="E36" s="1219">
        <v>27.936</v>
      </c>
      <c r="F36" s="1219">
        <v>15.55214113100001</v>
      </c>
      <c r="G36" s="1219">
        <v>16.751999999999999</v>
      </c>
      <c r="H36" s="1219">
        <v>3.9119719500000003</v>
      </c>
      <c r="I36" s="1219">
        <v>7.4880000000000004</v>
      </c>
      <c r="J36" s="1219">
        <v>1.8479790799999996</v>
      </c>
      <c r="K36" s="1219">
        <v>2.016</v>
      </c>
      <c r="L36" s="1219">
        <v>0.98398180999999996</v>
      </c>
      <c r="M36" s="2375">
        <v>3.9359999999999999</v>
      </c>
      <c r="N36" s="1219">
        <v>0.10800056999999998</v>
      </c>
      <c r="O36" s="4">
        <f t="shared" si="7"/>
        <v>16.751999999999999</v>
      </c>
      <c r="P36" s="4">
        <f t="shared" si="8"/>
        <v>3.9119719500000003</v>
      </c>
      <c r="Q36" s="172" t="s">
        <v>1540</v>
      </c>
      <c r="R36" s="4">
        <v>1488</v>
      </c>
      <c r="S36" s="4">
        <v>0</v>
      </c>
      <c r="T36" s="4">
        <v>1.488</v>
      </c>
      <c r="U36" s="4">
        <v>0</v>
      </c>
      <c r="AB36" s="2036"/>
      <c r="AC36" s="2036"/>
    </row>
    <row r="37" spans="2:29" x14ac:dyDescent="0.3">
      <c r="B37" s="1398" t="s">
        <v>1499</v>
      </c>
      <c r="C37" s="1222">
        <f t="shared" ref="C37:H37" si="9">SUM(C31:C36)</f>
        <v>402.59199999999998</v>
      </c>
      <c r="D37" s="1222">
        <f t="shared" si="9"/>
        <v>348.22767748000001</v>
      </c>
      <c r="E37" s="1087">
        <f t="shared" si="9"/>
        <v>290.66399999999999</v>
      </c>
      <c r="F37" s="1087">
        <f t="shared" si="9"/>
        <v>230.23681122799957</v>
      </c>
      <c r="G37" s="1087">
        <f t="shared" si="9"/>
        <v>196.98000000000002</v>
      </c>
      <c r="H37" s="1087">
        <f t="shared" si="9"/>
        <v>23.036739460000003</v>
      </c>
      <c r="I37" s="1087">
        <v>56.927999999999997</v>
      </c>
      <c r="J37" s="1087">
        <v>8.5554822700000006</v>
      </c>
      <c r="K37" s="1087">
        <f>SUM(K31:K36)</f>
        <v>9.0719999999999992</v>
      </c>
      <c r="L37" s="1087">
        <f>SUM(L31:L36)</f>
        <v>4.4911412340000005</v>
      </c>
      <c r="M37" s="2377">
        <f>SUM(M31:M36)</f>
        <v>13.632</v>
      </c>
      <c r="N37" s="1087">
        <f>SUM(N31:N36)</f>
        <v>4.4236293599999996</v>
      </c>
      <c r="Q37" s="4" t="s">
        <v>390</v>
      </c>
      <c r="R37" s="4">
        <v>20400</v>
      </c>
      <c r="S37" s="4">
        <v>8373.8684699999994</v>
      </c>
      <c r="T37" s="4">
        <v>20.399999999999999</v>
      </c>
      <c r="U37" s="4">
        <v>8.3738684699999997</v>
      </c>
      <c r="V37" s="4">
        <f>+H37/G37%</f>
        <v>11.694963681592041</v>
      </c>
      <c r="X37" s="113" t="e">
        <f>+#REF!-G37</f>
        <v>#REF!</v>
      </c>
      <c r="Y37" s="4" t="e">
        <f>+X37/#REF!%</f>
        <v>#REF!</v>
      </c>
      <c r="Z37" s="893">
        <f>+M37/E37</f>
        <v>4.6899512839567337E-2</v>
      </c>
      <c r="AA37" s="894">
        <f>+N37/F37</f>
        <v>1.9213388755716196E-2</v>
      </c>
      <c r="AB37" s="2036">
        <f>1-M37/E37</f>
        <v>0.95310048716043272</v>
      </c>
      <c r="AC37" s="2036">
        <f>1-N37/E37</f>
        <v>0.98478095202708282</v>
      </c>
    </row>
    <row r="38" spans="2:29" x14ac:dyDescent="0.3">
      <c r="B38" s="1218" t="s">
        <v>221</v>
      </c>
      <c r="C38" s="1219">
        <v>0</v>
      </c>
      <c r="D38" s="1219">
        <v>0</v>
      </c>
      <c r="E38" s="1219">
        <v>0</v>
      </c>
      <c r="F38" s="1219">
        <v>0</v>
      </c>
      <c r="G38" s="1219">
        <v>0</v>
      </c>
      <c r="H38" s="1219">
        <v>0</v>
      </c>
      <c r="I38" s="1219">
        <v>0</v>
      </c>
      <c r="J38" s="1219">
        <v>0</v>
      </c>
      <c r="K38" s="1219">
        <v>0</v>
      </c>
      <c r="L38" s="1219">
        <v>0</v>
      </c>
      <c r="M38" s="2375">
        <v>0</v>
      </c>
      <c r="N38" s="1219">
        <v>0</v>
      </c>
      <c r="O38" s="4">
        <f t="shared" ref="O38:O44" si="10">VLOOKUP(B38,$Q$5:$U$40,4,FALSE)</f>
        <v>0</v>
      </c>
      <c r="P38" s="4">
        <f t="shared" ref="P38:P44" si="11">VLOOKUP(B38,$Q$5:$U$40,5,FALSE)</f>
        <v>0</v>
      </c>
      <c r="Q38" s="4" t="s">
        <v>709</v>
      </c>
      <c r="R38" s="4">
        <v>0</v>
      </c>
      <c r="S38" s="4">
        <v>0.17699999999999999</v>
      </c>
      <c r="T38" s="4">
        <v>0</v>
      </c>
      <c r="U38" s="4">
        <v>1.7699999999999999E-4</v>
      </c>
      <c r="AB38" s="2036"/>
      <c r="AC38" s="2036"/>
    </row>
    <row r="39" spans="2:29" x14ac:dyDescent="0.3">
      <c r="B39" s="1218" t="s">
        <v>550</v>
      </c>
      <c r="C39" s="1219">
        <v>42.48</v>
      </c>
      <c r="D39" s="1219">
        <v>38.747659759999998</v>
      </c>
      <c r="E39" s="1219">
        <v>4.992</v>
      </c>
      <c r="F39" s="1219">
        <v>0.4199891300000001</v>
      </c>
      <c r="G39" s="1219">
        <v>17.856000000000002</v>
      </c>
      <c r="H39" s="1219">
        <v>6.3439540599999997</v>
      </c>
      <c r="I39" s="1219">
        <v>8.8320000000000007</v>
      </c>
      <c r="J39" s="1219">
        <v>5.2079641399999996</v>
      </c>
      <c r="K39" s="1219">
        <v>3.552</v>
      </c>
      <c r="L39" s="1219">
        <v>3.3489162499999998</v>
      </c>
      <c r="M39" s="2375">
        <v>14.256</v>
      </c>
      <c r="N39" s="1219">
        <v>12.748060779999999</v>
      </c>
      <c r="O39" s="4">
        <f t="shared" si="10"/>
        <v>17.856000000000002</v>
      </c>
      <c r="P39" s="4">
        <f t="shared" si="11"/>
        <v>6.3439540599999997</v>
      </c>
      <c r="Q39" s="172" t="s">
        <v>757</v>
      </c>
      <c r="R39" s="4">
        <v>144</v>
      </c>
      <c r="S39" s="4">
        <v>0</v>
      </c>
      <c r="T39" s="4">
        <v>0.14399999999999999</v>
      </c>
      <c r="U39" s="4">
        <v>0</v>
      </c>
      <c r="AB39" s="2036"/>
      <c r="AC39" s="2036"/>
    </row>
    <row r="40" spans="2:29" s="117" customFormat="1" ht="18.75" x14ac:dyDescent="0.3">
      <c r="B40" s="1224" t="s">
        <v>568</v>
      </c>
      <c r="C40" s="1219">
        <v>37.055999999999997</v>
      </c>
      <c r="D40" s="1219">
        <v>37.055607549999998</v>
      </c>
      <c r="E40" s="1219">
        <v>29.76</v>
      </c>
      <c r="F40" s="1219">
        <v>17.795870199999982</v>
      </c>
      <c r="G40" s="1219">
        <v>15.552</v>
      </c>
      <c r="H40" s="1219">
        <v>15.551881319999998</v>
      </c>
      <c r="I40" s="1219">
        <v>7.7759999999999998</v>
      </c>
      <c r="J40" s="1219">
        <v>7.7159199999999997</v>
      </c>
      <c r="K40" s="1219">
        <v>3.12</v>
      </c>
      <c r="L40" s="1220">
        <v>0.19199798999999998</v>
      </c>
      <c r="M40" s="2375">
        <v>22.704000000000001</v>
      </c>
      <c r="N40" s="1219">
        <v>18.512122520000002</v>
      </c>
      <c r="O40" s="4">
        <f t="shared" si="10"/>
        <v>15.552</v>
      </c>
      <c r="P40" s="4">
        <f t="shared" si="11"/>
        <v>15.551881319999998</v>
      </c>
      <c r="Q40" s="117" t="s">
        <v>225</v>
      </c>
      <c r="R40" s="117">
        <v>462696</v>
      </c>
      <c r="S40" s="117">
        <v>171539.76864999998</v>
      </c>
      <c r="T40" s="4">
        <v>462.69600000000003</v>
      </c>
      <c r="U40" s="4">
        <v>171.53976864999998</v>
      </c>
      <c r="AB40" s="2037"/>
      <c r="AC40" s="2037"/>
    </row>
    <row r="41" spans="2:29" x14ac:dyDescent="0.3">
      <c r="B41" s="1218" t="s">
        <v>1500</v>
      </c>
      <c r="C41" s="1219">
        <v>0.76800000000000002</v>
      </c>
      <c r="D41" s="1219">
        <v>0.9119966399999998</v>
      </c>
      <c r="E41" s="1219">
        <v>25.92</v>
      </c>
      <c r="F41" s="1219">
        <v>25.919862499999983</v>
      </c>
      <c r="G41" s="1219">
        <v>0.432</v>
      </c>
      <c r="H41" s="1219">
        <v>2.3999950000000003E-2</v>
      </c>
      <c r="I41" s="1219">
        <v>0.28799999999999998</v>
      </c>
      <c r="J41" s="1219">
        <v>2.4E-2</v>
      </c>
      <c r="K41" s="1219">
        <v>0</v>
      </c>
      <c r="L41" s="1219">
        <v>0</v>
      </c>
      <c r="M41" s="2375">
        <v>0</v>
      </c>
      <c r="N41" s="1219">
        <v>0</v>
      </c>
      <c r="O41" s="4">
        <f t="shared" si="10"/>
        <v>0.432</v>
      </c>
      <c r="P41" s="4">
        <f t="shared" si="11"/>
        <v>2.3999950000000003E-2</v>
      </c>
      <c r="AB41" s="2036"/>
      <c r="AC41" s="2036"/>
    </row>
    <row r="42" spans="2:29" x14ac:dyDescent="0.3">
      <c r="B42" s="1218" t="s">
        <v>851</v>
      </c>
      <c r="C42" s="1219">
        <v>0</v>
      </c>
      <c r="D42" s="1219">
        <v>0</v>
      </c>
      <c r="E42" s="1219">
        <v>0.57599999999999996</v>
      </c>
      <c r="F42" s="1219">
        <v>0.57599741000000004</v>
      </c>
      <c r="G42" s="1219">
        <v>0</v>
      </c>
      <c r="H42" s="1219">
        <v>0</v>
      </c>
      <c r="I42" s="1219">
        <v>0</v>
      </c>
      <c r="J42" s="1219">
        <v>0</v>
      </c>
      <c r="K42" s="1219">
        <v>0</v>
      </c>
      <c r="L42" s="1219">
        <v>0</v>
      </c>
      <c r="M42" s="2375">
        <v>0</v>
      </c>
      <c r="N42" s="1219">
        <v>0</v>
      </c>
      <c r="O42" s="4">
        <f t="shared" si="10"/>
        <v>0</v>
      </c>
      <c r="P42" s="4">
        <f t="shared" si="11"/>
        <v>0</v>
      </c>
      <c r="AB42" s="2036"/>
      <c r="AC42" s="2036"/>
    </row>
    <row r="43" spans="2:29" x14ac:dyDescent="0.3">
      <c r="B43" s="1218" t="s">
        <v>224</v>
      </c>
      <c r="C43" s="1219">
        <v>129.16800000000001</v>
      </c>
      <c r="D43" s="1219">
        <v>129.16710994000002</v>
      </c>
      <c r="E43" s="1219">
        <v>0</v>
      </c>
      <c r="F43" s="1219">
        <v>0</v>
      </c>
      <c r="G43" s="1219">
        <v>54.24</v>
      </c>
      <c r="H43" s="1219">
        <v>54.223039759999985</v>
      </c>
      <c r="I43" s="1219">
        <v>32.543999999999997</v>
      </c>
      <c r="J43" s="1219">
        <v>32.531161839999989</v>
      </c>
      <c r="K43" s="1219">
        <v>13.007999999999999</v>
      </c>
      <c r="L43" s="1219">
        <v>13.007445519999997</v>
      </c>
      <c r="M43" s="2375">
        <v>54.24</v>
      </c>
      <c r="N43" s="1219">
        <v>51.240251359999981</v>
      </c>
      <c r="O43" s="4">
        <f t="shared" si="10"/>
        <v>54.24</v>
      </c>
      <c r="P43" s="4">
        <f t="shared" si="11"/>
        <v>54.223039759999985</v>
      </c>
      <c r="AB43" s="2036"/>
      <c r="AC43" s="2036"/>
    </row>
    <row r="44" spans="2:29" x14ac:dyDescent="0.3">
      <c r="B44" s="1218" t="s">
        <v>1540</v>
      </c>
      <c r="C44" s="1219">
        <v>16.032</v>
      </c>
      <c r="D44" s="1219">
        <v>2.8799352899999997</v>
      </c>
      <c r="E44" s="1219">
        <v>90.432000000000002</v>
      </c>
      <c r="F44" s="1219">
        <v>90.431883789999802</v>
      </c>
      <c r="G44" s="1219">
        <v>1.488</v>
      </c>
      <c r="H44" s="1219">
        <v>0</v>
      </c>
      <c r="I44" s="1219">
        <v>0.38400000000000001</v>
      </c>
      <c r="J44" s="1219">
        <v>0</v>
      </c>
      <c r="K44" s="1219">
        <v>0</v>
      </c>
      <c r="L44" s="1219">
        <v>0</v>
      </c>
      <c r="M44" s="2375">
        <v>0</v>
      </c>
      <c r="N44" s="1219">
        <v>0</v>
      </c>
      <c r="O44" s="4">
        <f t="shared" si="10"/>
        <v>1.488</v>
      </c>
      <c r="P44" s="4">
        <f t="shared" si="11"/>
        <v>0</v>
      </c>
      <c r="AB44" s="2036"/>
      <c r="AC44" s="2036"/>
    </row>
    <row r="45" spans="2:29" x14ac:dyDescent="0.3">
      <c r="B45" s="1398" t="s">
        <v>1501</v>
      </c>
      <c r="C45" s="1222">
        <f t="shared" ref="C45:H45" si="12">SUM(C38:C44)</f>
        <v>225.50400000000002</v>
      </c>
      <c r="D45" s="1222">
        <f t="shared" si="12"/>
        <v>208.76230917999999</v>
      </c>
      <c r="E45" s="1087">
        <f t="shared" si="12"/>
        <v>151.68</v>
      </c>
      <c r="F45" s="1087">
        <f t="shared" si="12"/>
        <v>135.14360302999978</v>
      </c>
      <c r="G45" s="1087">
        <f t="shared" si="12"/>
        <v>89.568000000000012</v>
      </c>
      <c r="H45" s="1087">
        <f t="shared" si="12"/>
        <v>76.14287508999999</v>
      </c>
      <c r="I45" s="1087">
        <v>49.823999999999998</v>
      </c>
      <c r="J45" s="1087">
        <v>45.479045979999988</v>
      </c>
      <c r="K45" s="1087">
        <f>SUM(K38:K44)</f>
        <v>19.68</v>
      </c>
      <c r="L45" s="1087">
        <f>SUM(L38:L44)</f>
        <v>16.548359759999997</v>
      </c>
      <c r="M45" s="2377">
        <f>SUM(M38:M44)</f>
        <v>91.2</v>
      </c>
      <c r="N45" s="1087">
        <f>SUM(N38:N44)</f>
        <v>82.500434659999982</v>
      </c>
      <c r="V45" s="4">
        <f>+H45/G45%</f>
        <v>85.011248537424052</v>
      </c>
      <c r="X45" s="113" t="e">
        <f>+#REF!-G45</f>
        <v>#REF!</v>
      </c>
      <c r="Y45" s="4" t="e">
        <f>+X45/#REF!%</f>
        <v>#REF!</v>
      </c>
      <c r="Z45" s="893">
        <f>+M45/E45</f>
        <v>0.60126582278481011</v>
      </c>
      <c r="AA45" s="894">
        <f>+N45/F45</f>
        <v>0.6104649632708562</v>
      </c>
      <c r="AB45" s="2036">
        <f>1-M45/E45</f>
        <v>0.39873417721518989</v>
      </c>
      <c r="AC45" s="2036">
        <f>1-N45/E45</f>
        <v>0.45608890651371325</v>
      </c>
    </row>
    <row r="46" spans="2:29" x14ac:dyDescent="0.3">
      <c r="B46" s="1360" t="s">
        <v>1029</v>
      </c>
      <c r="C46" s="1222">
        <f t="shared" ref="C46:H46" si="13">+C45+C37+C30+C21+C15</f>
        <v>2315.0080000000003</v>
      </c>
      <c r="D46" s="1222">
        <f t="shared" si="13"/>
        <v>2038.7904811000001</v>
      </c>
      <c r="E46" s="1087">
        <f t="shared" si="13"/>
        <v>1783.3439999999998</v>
      </c>
      <c r="F46" s="1087">
        <f t="shared" si="13"/>
        <v>1659.9155397959985</v>
      </c>
      <c r="G46" s="1087">
        <f t="shared" si="13"/>
        <v>1243.6440000000002</v>
      </c>
      <c r="H46" s="1087">
        <f t="shared" si="13"/>
        <v>396.11508612999995</v>
      </c>
      <c r="I46" s="1087">
        <v>971.79599999999994</v>
      </c>
      <c r="J46" s="1087">
        <v>383.47948488999998</v>
      </c>
      <c r="K46" s="1087">
        <f>+K45+K37+K30+K21+K15</f>
        <v>416.78399999999999</v>
      </c>
      <c r="L46" s="1087">
        <f>+L45+L37+L30+L21+L15</f>
        <v>295.27667783800001</v>
      </c>
      <c r="M46" s="2377">
        <f>+M45+M37+M30+M21+M15</f>
        <v>471.93</v>
      </c>
      <c r="N46" s="1087">
        <f>+N45+N37+N30+N21+N15</f>
        <v>363.46649442999995</v>
      </c>
      <c r="V46" s="4">
        <f>+H46/G46%</f>
        <v>31.85116368751828</v>
      </c>
      <c r="X46" s="113" t="e">
        <f>+#REF!-G46</f>
        <v>#REF!</v>
      </c>
      <c r="Y46" s="4" t="e">
        <f>+X46/#REF!%</f>
        <v>#REF!</v>
      </c>
      <c r="Z46" s="893">
        <f>+M46/E46</f>
        <v>0.26463206201383471</v>
      </c>
      <c r="AA46" s="894">
        <f>+N46/F46</f>
        <v>0.21896686049138953</v>
      </c>
      <c r="AB46" s="2036">
        <f>1-M46/E46</f>
        <v>0.73536793798616529</v>
      </c>
      <c r="AC46" s="2036">
        <f>1-N46/E46</f>
        <v>0.7961882315302039</v>
      </c>
    </row>
    <row r="47" spans="2:29" ht="6.75" customHeight="1" x14ac:dyDescent="0.3">
      <c r="B47" s="1062"/>
      <c r="C47" s="1063"/>
      <c r="D47" s="1063"/>
      <c r="E47" s="1064"/>
      <c r="F47" s="1064"/>
      <c r="G47" s="1064"/>
      <c r="H47" s="1064"/>
      <c r="I47" s="1064"/>
      <c r="J47" s="1064"/>
      <c r="K47" s="1064"/>
      <c r="L47" s="1065"/>
      <c r="M47" s="2378"/>
      <c r="N47" s="1065"/>
      <c r="X47" s="4" t="e">
        <f>+X46/#REF!%</f>
        <v>#REF!</v>
      </c>
    </row>
    <row r="48" spans="2:29" x14ac:dyDescent="0.3">
      <c r="B48" s="1266" t="s">
        <v>2484</v>
      </c>
      <c r="C48" s="1066"/>
      <c r="D48" s="1066"/>
      <c r="E48" s="1067"/>
      <c r="F48" s="1067"/>
      <c r="G48" s="1067"/>
      <c r="H48" s="1067"/>
      <c r="I48" s="1067"/>
      <c r="J48" s="1067"/>
      <c r="K48" s="1067"/>
      <c r="L48" s="1068"/>
      <c r="M48" s="2379"/>
      <c r="N48" s="1068"/>
      <c r="AC48" s="4">
        <f>1-N46/M46</f>
        <v>0.22982964755366275</v>
      </c>
    </row>
    <row r="49" spans="2:16" x14ac:dyDescent="0.3">
      <c r="B49" s="1266" t="s">
        <v>2485</v>
      </c>
      <c r="C49" s="1066"/>
      <c r="D49" s="1066"/>
      <c r="E49" s="1067"/>
      <c r="F49" s="1067"/>
      <c r="G49" s="1067"/>
      <c r="H49" s="1067"/>
      <c r="I49" s="1067"/>
      <c r="J49" s="1067"/>
      <c r="K49" s="1067"/>
      <c r="L49" s="1068"/>
      <c r="M49" s="1067"/>
      <c r="N49" s="1068"/>
      <c r="O49" s="4" t="e">
        <f>VLOOKUP(B49,$Q$5:$U$40,4,FALSE)</f>
        <v>#N/A</v>
      </c>
      <c r="P49" s="4" t="e">
        <f>VLOOKUP(B49,$Q$5:$U$40,5,FALSE)</f>
        <v>#N/A</v>
      </c>
    </row>
    <row r="50" spans="2:16" ht="17.25" customHeight="1" x14ac:dyDescent="0.3">
      <c r="B50" s="3511" t="s">
        <v>2893</v>
      </c>
      <c r="C50" s="3512"/>
      <c r="D50" s="3512"/>
      <c r="E50" s="3512"/>
      <c r="F50" s="3512"/>
      <c r="G50" s="3512"/>
      <c r="H50" s="3512"/>
      <c r="I50" s="3512"/>
      <c r="J50" s="3512"/>
      <c r="K50" s="3512"/>
      <c r="L50" s="3512"/>
      <c r="M50" s="3512"/>
      <c r="N50" s="3513"/>
      <c r="O50" s="4" t="e">
        <f>VLOOKUP(B50,$Q$5:$U$40,4,FALSE)</f>
        <v>#N/A</v>
      </c>
      <c r="P50" s="4" t="e">
        <f>VLOOKUP(B50,$Q$5:$U$40,5,FALSE)</f>
        <v>#N/A</v>
      </c>
    </row>
    <row r="51" spans="2:16" ht="93.75" customHeight="1" x14ac:dyDescent="0.3">
      <c r="B51" s="3514" t="s">
        <v>2892</v>
      </c>
      <c r="C51" s="3515"/>
      <c r="D51" s="3515"/>
      <c r="E51" s="3515"/>
      <c r="F51" s="3515"/>
      <c r="G51" s="3515"/>
      <c r="H51" s="3515"/>
      <c r="I51" s="3515"/>
      <c r="J51" s="3515"/>
      <c r="K51" s="3515"/>
      <c r="L51" s="3515"/>
      <c r="M51" s="3515"/>
      <c r="N51" s="3516"/>
      <c r="O51" s="4" t="e">
        <f>VLOOKUP(B51,$Q$5:$U$40,4,FALSE)</f>
        <v>#VALUE!</v>
      </c>
      <c r="P51" s="4" t="e">
        <f>VLOOKUP(B51,$Q$5:$U$40,5,FALSE)</f>
        <v>#VALUE!</v>
      </c>
    </row>
    <row r="64" spans="2:16" ht="1.5" customHeight="1" x14ac:dyDescent="0.3"/>
  </sheetData>
  <mergeCells count="11">
    <mergeCell ref="M3:N3"/>
    <mergeCell ref="B50:N50"/>
    <mergeCell ref="B51:N51"/>
    <mergeCell ref="B1:N1"/>
    <mergeCell ref="B2:N2"/>
    <mergeCell ref="B3:B4"/>
    <mergeCell ref="C3:D3"/>
    <mergeCell ref="E3:F3"/>
    <mergeCell ref="G3:H3"/>
    <mergeCell ref="I3:J3"/>
    <mergeCell ref="K3:L3"/>
  </mergeCells>
  <pageMargins left="0.70866141732283472" right="0.70866141732283472" top="0.74803149606299213" bottom="0.74803149606299213" header="0.31496062992125984" footer="0.31496062992125984"/>
  <pageSetup paperSize="9" scale="66" orientation="portrait" r:id="rId1"/>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DD16FC-DB80-4C71-BA66-DC0A301F94D5}">
  <sheetPr>
    <tabColor theme="0"/>
    <pageSetUpPr fitToPage="1"/>
  </sheetPr>
  <dimension ref="B1:AO64"/>
  <sheetViews>
    <sheetView showGridLines="0" view="pageLayout" topLeftCell="C1" zoomScale="80" zoomScaleNormal="80" zoomScalePageLayoutView="80" workbookViewId="0">
      <selection activeCell="AU59" sqref="AU59"/>
    </sheetView>
  </sheetViews>
  <sheetFormatPr defaultColWidth="9.140625" defaultRowHeight="16.5" x14ac:dyDescent="0.3"/>
  <cols>
    <col min="1" max="1" width="9.140625" style="4"/>
    <col min="2" max="2" width="31" style="4" customWidth="1"/>
    <col min="3" max="4" width="9.7109375" style="51" customWidth="1"/>
    <col min="5" max="5" width="13.28515625" style="51" customWidth="1"/>
    <col min="6" max="6" width="12.42578125" style="51" customWidth="1"/>
    <col min="7" max="7" width="11.140625" style="51" customWidth="1"/>
    <col min="8" max="9" width="9.7109375" style="51" customWidth="1"/>
    <col min="10" max="10" width="12.85546875" style="51" customWidth="1"/>
    <col min="11" max="11" width="17.42578125" style="4" hidden="1" customWidth="1"/>
    <col min="12" max="12" width="9.28515625" style="51" hidden="1" customWidth="1"/>
    <col min="13" max="13" width="11.28515625" style="4" hidden="1" customWidth="1"/>
    <col min="14" max="14" width="0" style="4" hidden="1" customWidth="1"/>
    <col min="15" max="19" width="9.140625" style="4" hidden="1" customWidth="1"/>
    <col min="20" max="20" width="25.42578125" style="4" hidden="1" customWidth="1"/>
    <col min="21" max="22" width="9.140625" style="4" hidden="1" customWidth="1"/>
    <col min="23" max="23" width="0" style="4" hidden="1" customWidth="1"/>
    <col min="24" max="24" width="24.85546875" style="4" hidden="1" customWidth="1"/>
    <col min="25" max="37" width="0" style="4" hidden="1" customWidth="1"/>
    <col min="38" max="38" width="0.140625" style="4" customWidth="1"/>
    <col min="39" max="39" width="12" style="4" customWidth="1"/>
    <col min="40" max="40" width="12" style="45" customWidth="1"/>
    <col min="41" max="16384" width="9.140625" style="4"/>
  </cols>
  <sheetData>
    <row r="1" spans="2:41" ht="23.25" customHeight="1" x14ac:dyDescent="0.3">
      <c r="B1" s="3529" t="s">
        <v>1541</v>
      </c>
      <c r="C1" s="3530"/>
      <c r="D1" s="3530"/>
      <c r="E1" s="3530"/>
      <c r="F1" s="3530"/>
      <c r="G1" s="3530"/>
      <c r="H1" s="3530"/>
      <c r="I1" s="3530"/>
      <c r="J1" s="3530"/>
      <c r="K1" s="3530"/>
      <c r="L1" s="3530"/>
      <c r="M1" s="3530"/>
      <c r="N1" s="3530"/>
      <c r="O1" s="3530"/>
      <c r="P1" s="3530"/>
      <c r="Q1" s="3530"/>
      <c r="R1" s="3530"/>
      <c r="S1" s="3530"/>
      <c r="T1" s="3530"/>
      <c r="U1" s="3530"/>
      <c r="V1" s="3530"/>
      <c r="W1" s="3530"/>
      <c r="X1" s="3530"/>
      <c r="Y1" s="3530"/>
      <c r="Z1" s="3530"/>
      <c r="AA1" s="3530"/>
      <c r="AB1" s="3530"/>
      <c r="AC1" s="3530"/>
      <c r="AD1" s="3530"/>
      <c r="AE1" s="3530"/>
      <c r="AF1" s="3530"/>
      <c r="AG1" s="3530"/>
      <c r="AH1" s="3530"/>
      <c r="AI1" s="3530"/>
      <c r="AJ1" s="3530"/>
      <c r="AK1" s="3530"/>
      <c r="AL1" s="3530"/>
      <c r="AM1" s="3530"/>
      <c r="AN1" s="3531"/>
    </row>
    <row r="2" spans="2:41" ht="17.25" thickBot="1" x14ac:dyDescent="0.35">
      <c r="B2" s="3532"/>
      <c r="C2" s="3533"/>
      <c r="D2" s="3533"/>
      <c r="E2" s="3533"/>
      <c r="F2" s="3533"/>
      <c r="G2" s="3533"/>
      <c r="H2" s="3533"/>
      <c r="I2" s="3533"/>
      <c r="J2" s="3533"/>
      <c r="K2" s="3533"/>
      <c r="L2" s="3533"/>
      <c r="M2" s="3533"/>
      <c r="N2" s="3533"/>
      <c r="O2" s="3533"/>
      <c r="P2" s="3533"/>
      <c r="Q2" s="3533"/>
      <c r="R2" s="3533"/>
      <c r="S2" s="3533"/>
      <c r="T2" s="3533"/>
      <c r="U2" s="3533"/>
      <c r="V2" s="3533"/>
      <c r="W2" s="3533"/>
      <c r="X2" s="3533"/>
      <c r="Y2" s="3533"/>
      <c r="Z2" s="3533"/>
      <c r="AA2" s="3533"/>
      <c r="AB2" s="3533"/>
      <c r="AC2" s="3533"/>
      <c r="AD2" s="3533"/>
      <c r="AE2" s="3533"/>
      <c r="AF2" s="3533"/>
      <c r="AG2" s="3533"/>
      <c r="AH2" s="3533"/>
      <c r="AI2" s="3533"/>
      <c r="AJ2" s="3533"/>
      <c r="AK2" s="3533"/>
      <c r="AL2" s="3533"/>
      <c r="AM2" s="3533"/>
      <c r="AN2" s="3534"/>
    </row>
    <row r="3" spans="2:41" x14ac:dyDescent="0.3">
      <c r="B3" s="3535" t="s">
        <v>1477</v>
      </c>
      <c r="C3" s="3537" t="s">
        <v>2363</v>
      </c>
      <c r="D3" s="3537"/>
      <c r="E3" s="3537"/>
      <c r="F3" s="3537"/>
      <c r="G3" s="3538"/>
      <c r="H3" s="3535" t="s">
        <v>2372</v>
      </c>
      <c r="I3" s="3537"/>
      <c r="J3" s="3537"/>
      <c r="K3" s="3537"/>
      <c r="L3" s="3537"/>
      <c r="M3" s="3537"/>
      <c r="N3" s="3537"/>
      <c r="O3" s="3537"/>
      <c r="P3" s="3537"/>
      <c r="Q3" s="3537"/>
      <c r="R3" s="3537"/>
      <c r="S3" s="3537"/>
      <c r="T3" s="3537"/>
      <c r="U3" s="3537"/>
      <c r="V3" s="3537"/>
      <c r="W3" s="3537"/>
      <c r="X3" s="3537"/>
      <c r="Y3" s="3537"/>
      <c r="Z3" s="3537"/>
      <c r="AA3" s="3537"/>
      <c r="AB3" s="3537"/>
      <c r="AC3" s="3537"/>
      <c r="AD3" s="3537"/>
      <c r="AE3" s="3537"/>
      <c r="AF3" s="3537"/>
      <c r="AG3" s="3537"/>
      <c r="AH3" s="3537"/>
      <c r="AI3" s="3537"/>
      <c r="AJ3" s="3537"/>
      <c r="AK3" s="3537"/>
      <c r="AL3" s="3537"/>
      <c r="AM3" s="3537"/>
      <c r="AN3" s="3538"/>
    </row>
    <row r="4" spans="2:41" x14ac:dyDescent="0.3">
      <c r="B4" s="3536"/>
      <c r="C4" s="1226" t="s">
        <v>1544</v>
      </c>
      <c r="D4" s="1226" t="s">
        <v>1545</v>
      </c>
      <c r="E4" s="1226" t="s">
        <v>1546</v>
      </c>
      <c r="F4" s="1226" t="s">
        <v>2311</v>
      </c>
      <c r="G4" s="1226" t="s">
        <v>2557</v>
      </c>
      <c r="H4" s="1228" t="s">
        <v>1544</v>
      </c>
      <c r="I4" s="1226" t="s">
        <v>1545</v>
      </c>
      <c r="J4" s="1226" t="s">
        <v>1546</v>
      </c>
      <c r="K4" s="1226" t="s">
        <v>1547</v>
      </c>
      <c r="L4" s="1229" t="s">
        <v>1548</v>
      </c>
      <c r="M4" s="39" t="s">
        <v>1549</v>
      </c>
      <c r="N4" s="39"/>
      <c r="O4" s="39"/>
      <c r="P4" s="39"/>
      <c r="Q4" s="39"/>
      <c r="R4" s="39"/>
      <c r="S4" s="39"/>
      <c r="T4" s="39"/>
      <c r="U4" s="39" t="s">
        <v>1550</v>
      </c>
      <c r="V4" s="39" t="s">
        <v>1551</v>
      </c>
      <c r="W4" s="39"/>
      <c r="X4" s="39"/>
      <c r="Y4" s="39" t="s">
        <v>1544</v>
      </c>
      <c r="Z4" s="39" t="s">
        <v>1551</v>
      </c>
      <c r="AA4" s="39"/>
      <c r="AB4" s="39"/>
      <c r="AC4" s="39"/>
      <c r="AD4" s="39"/>
      <c r="AE4" s="39"/>
      <c r="AF4" s="39"/>
      <c r="AG4" s="39"/>
      <c r="AH4" s="39"/>
      <c r="AI4" s="39"/>
      <c r="AJ4" s="39"/>
      <c r="AK4" s="39"/>
      <c r="AL4" s="39"/>
      <c r="AM4" s="1226" t="s">
        <v>2311</v>
      </c>
      <c r="AN4" s="1227" t="s">
        <v>2557</v>
      </c>
    </row>
    <row r="5" spans="2:41" x14ac:dyDescent="0.3">
      <c r="B5" s="175" t="s">
        <v>1484</v>
      </c>
      <c r="C5" s="1230">
        <v>47</v>
      </c>
      <c r="D5" s="1230">
        <v>48</v>
      </c>
      <c r="E5" s="1230">
        <v>50</v>
      </c>
      <c r="F5" s="1230">
        <v>48</v>
      </c>
      <c r="G5" s="1231">
        <f>VLOOKUP(B5,'6.4D'!$B$7:$G$48,6,0)</f>
        <v>48</v>
      </c>
      <c r="H5" s="1232">
        <v>12</v>
      </c>
      <c r="I5" s="1229">
        <v>11</v>
      </c>
      <c r="J5" s="1229">
        <v>11</v>
      </c>
      <c r="K5" s="1229">
        <v>11</v>
      </c>
      <c r="L5" s="1229"/>
      <c r="M5" s="39"/>
      <c r="N5" s="39"/>
      <c r="O5" s="39"/>
      <c r="P5" s="39"/>
      <c r="Q5" s="39"/>
      <c r="R5" s="39"/>
      <c r="S5" s="39"/>
      <c r="T5" s="1233" t="s">
        <v>1552</v>
      </c>
      <c r="U5" s="1234">
        <v>4230</v>
      </c>
      <c r="V5" s="39">
        <v>4277</v>
      </c>
      <c r="W5" s="39"/>
      <c r="X5" s="1233" t="s">
        <v>1552</v>
      </c>
      <c r="Y5" s="1235">
        <v>384</v>
      </c>
      <c r="Z5" s="1235">
        <f>SUM(W5:Y5)</f>
        <v>384</v>
      </c>
      <c r="AA5" s="39"/>
      <c r="AB5" s="39"/>
      <c r="AC5" s="39"/>
      <c r="AD5" s="39"/>
      <c r="AE5" s="39"/>
      <c r="AF5" s="39"/>
      <c r="AG5" s="39"/>
      <c r="AH5" s="39"/>
      <c r="AI5" s="39"/>
      <c r="AJ5" s="39"/>
      <c r="AK5" s="39"/>
      <c r="AL5" s="39"/>
      <c r="AM5" s="1229">
        <v>11</v>
      </c>
      <c r="AN5" s="1632">
        <v>11</v>
      </c>
    </row>
    <row r="6" spans="2:41" x14ac:dyDescent="0.3">
      <c r="B6" s="175" t="s">
        <v>1485</v>
      </c>
      <c r="C6" s="1230">
        <v>400</v>
      </c>
      <c r="D6" s="1230">
        <v>402</v>
      </c>
      <c r="E6" s="1230">
        <v>403</v>
      </c>
      <c r="F6" s="1230">
        <v>404</v>
      </c>
      <c r="G6" s="1231">
        <f>VLOOKUP(B6,'6.4D'!$B$7:$G$48,6,0)</f>
        <v>401</v>
      </c>
      <c r="H6" s="1232">
        <v>111</v>
      </c>
      <c r="I6" s="1229">
        <v>112</v>
      </c>
      <c r="J6" s="1229">
        <v>112</v>
      </c>
      <c r="K6" s="1229">
        <v>248</v>
      </c>
      <c r="L6" s="1229"/>
      <c r="M6" s="39"/>
      <c r="N6" s="39"/>
      <c r="O6" s="39"/>
      <c r="P6" s="39"/>
      <c r="Q6" s="39"/>
      <c r="R6" s="39"/>
      <c r="S6" s="39"/>
      <c r="T6" s="1233" t="s">
        <v>1553</v>
      </c>
      <c r="U6" s="1234">
        <v>178</v>
      </c>
      <c r="V6" s="39">
        <v>186</v>
      </c>
      <c r="W6" s="39"/>
      <c r="X6" s="1233" t="s">
        <v>1553</v>
      </c>
      <c r="Y6" s="1235">
        <v>33</v>
      </c>
      <c r="Z6" s="1235">
        <f t="shared" ref="Z6:Z33" si="0">SUM(W6:Y6)</f>
        <v>33</v>
      </c>
      <c r="AA6" s="39"/>
      <c r="AB6" s="39"/>
      <c r="AC6" s="39"/>
      <c r="AD6" s="39"/>
      <c r="AE6" s="39"/>
      <c r="AF6" s="39"/>
      <c r="AG6" s="39"/>
      <c r="AH6" s="39"/>
      <c r="AI6" s="39"/>
      <c r="AJ6" s="39"/>
      <c r="AK6" s="39"/>
      <c r="AL6" s="39"/>
      <c r="AM6" s="1229">
        <v>112</v>
      </c>
      <c r="AN6" s="1632">
        <v>112</v>
      </c>
    </row>
    <row r="7" spans="2:41" x14ac:dyDescent="0.3">
      <c r="B7" s="175" t="s">
        <v>507</v>
      </c>
      <c r="C7" s="1230">
        <v>3660</v>
      </c>
      <c r="D7" s="1230">
        <v>3769</v>
      </c>
      <c r="E7" s="1230">
        <v>3895</v>
      </c>
      <c r="F7" s="1230">
        <v>4143</v>
      </c>
      <c r="G7" s="1231">
        <f>VLOOKUP(B7,'6.4D'!$B$7:$G$48,6,0)</f>
        <v>4409</v>
      </c>
      <c r="H7" s="1232">
        <v>139</v>
      </c>
      <c r="I7" s="1229">
        <v>150</v>
      </c>
      <c r="J7" s="1229">
        <v>150</v>
      </c>
      <c r="K7" s="1229">
        <v>186</v>
      </c>
      <c r="L7" s="1229"/>
      <c r="M7" s="39"/>
      <c r="N7" s="39"/>
      <c r="O7" s="39"/>
      <c r="P7" s="39"/>
      <c r="Q7" s="39"/>
      <c r="R7" s="39"/>
      <c r="S7" s="39"/>
      <c r="T7" s="1233" t="s">
        <v>1554</v>
      </c>
      <c r="U7" s="1234">
        <v>1312</v>
      </c>
      <c r="V7" s="39">
        <v>1348</v>
      </c>
      <c r="W7" s="39"/>
      <c r="X7" s="1233" t="s">
        <v>1554</v>
      </c>
      <c r="Y7" s="1235">
        <v>359</v>
      </c>
      <c r="Z7" s="1235">
        <f t="shared" si="0"/>
        <v>359</v>
      </c>
      <c r="AA7" s="39"/>
      <c r="AB7" s="39"/>
      <c r="AC7" s="39"/>
      <c r="AD7" s="39"/>
      <c r="AE7" s="39"/>
      <c r="AF7" s="39"/>
      <c r="AG7" s="39"/>
      <c r="AH7" s="39"/>
      <c r="AI7" s="39"/>
      <c r="AJ7" s="39"/>
      <c r="AK7" s="39"/>
      <c r="AL7" s="39"/>
      <c r="AM7" s="1229">
        <v>150</v>
      </c>
      <c r="AN7" s="1632">
        <v>150</v>
      </c>
    </row>
    <row r="8" spans="2:41" x14ac:dyDescent="0.3">
      <c r="B8" s="175" t="s">
        <v>538</v>
      </c>
      <c r="C8" s="1230">
        <v>638</v>
      </c>
      <c r="D8" s="1230">
        <v>701</v>
      </c>
      <c r="E8" s="1230">
        <v>725</v>
      </c>
      <c r="F8" s="1230">
        <v>815</v>
      </c>
      <c r="G8" s="1231">
        <f>VLOOKUP(B8,'6.4D'!$B$7:$G$48,6,0)</f>
        <v>886</v>
      </c>
      <c r="H8" s="1232">
        <v>26</v>
      </c>
      <c r="I8" s="1229">
        <v>25</v>
      </c>
      <c r="J8" s="1229">
        <v>25</v>
      </c>
      <c r="K8" s="1229">
        <v>15</v>
      </c>
      <c r="L8" s="1229"/>
      <c r="M8" s="39"/>
      <c r="N8" s="39"/>
      <c r="O8" s="39"/>
      <c r="P8" s="39"/>
      <c r="Q8" s="39"/>
      <c r="R8" s="39"/>
      <c r="S8" s="39"/>
      <c r="T8" s="1233" t="s">
        <v>1555</v>
      </c>
      <c r="U8" s="1234">
        <v>3341</v>
      </c>
      <c r="V8" s="39">
        <v>3436</v>
      </c>
      <c r="W8" s="39"/>
      <c r="X8" s="1233" t="s">
        <v>1555</v>
      </c>
      <c r="Y8" s="1235">
        <v>362</v>
      </c>
      <c r="Z8" s="1235">
        <f t="shared" si="0"/>
        <v>362</v>
      </c>
      <c r="AA8" s="39"/>
      <c r="AB8" s="39"/>
      <c r="AC8" s="39"/>
      <c r="AD8" s="39"/>
      <c r="AE8" s="39"/>
      <c r="AF8" s="39"/>
      <c r="AG8" s="39"/>
      <c r="AH8" s="39"/>
      <c r="AI8" s="39"/>
      <c r="AJ8" s="39"/>
      <c r="AK8" s="39"/>
      <c r="AL8" s="39"/>
      <c r="AM8" s="1229">
        <v>25</v>
      </c>
      <c r="AN8" s="1632">
        <v>25</v>
      </c>
    </row>
    <row r="9" spans="2:41" x14ac:dyDescent="0.3">
      <c r="B9" s="175" t="s">
        <v>1521</v>
      </c>
      <c r="C9" s="1230">
        <v>581</v>
      </c>
      <c r="D9" s="1230">
        <v>643</v>
      </c>
      <c r="E9" s="1230">
        <v>673</v>
      </c>
      <c r="F9" s="1230">
        <v>749</v>
      </c>
      <c r="G9" s="1231">
        <f>VLOOKUP(B9,'6.4D'!$B$7:$G$48,6,0)</f>
        <v>818</v>
      </c>
      <c r="H9" s="1232">
        <v>45</v>
      </c>
      <c r="I9" s="1229">
        <v>50</v>
      </c>
      <c r="J9" s="1229">
        <v>50</v>
      </c>
      <c r="K9" s="1229">
        <v>0</v>
      </c>
      <c r="L9" s="1229"/>
      <c r="M9" s="39"/>
      <c r="N9" s="39"/>
      <c r="O9" s="39"/>
      <c r="P9" s="39"/>
      <c r="Q9" s="39"/>
      <c r="R9" s="39"/>
      <c r="S9" s="39"/>
      <c r="T9" s="1236" t="s">
        <v>452</v>
      </c>
      <c r="U9" s="1234">
        <v>1969</v>
      </c>
      <c r="V9" s="39">
        <v>2010</v>
      </c>
      <c r="W9" s="39"/>
      <c r="X9" s="1236" t="s">
        <v>452</v>
      </c>
      <c r="Y9" s="1235">
        <v>108</v>
      </c>
      <c r="Z9" s="1235">
        <f t="shared" si="0"/>
        <v>108</v>
      </c>
      <c r="AA9" s="39"/>
      <c r="AB9" s="39"/>
      <c r="AC9" s="39"/>
      <c r="AD9" s="39"/>
      <c r="AE9" s="39"/>
      <c r="AF9" s="39"/>
      <c r="AG9" s="39"/>
      <c r="AH9" s="39"/>
      <c r="AI9" s="39"/>
      <c r="AJ9" s="39"/>
      <c r="AK9" s="39"/>
      <c r="AL9" s="39"/>
      <c r="AM9" s="1229">
        <v>50</v>
      </c>
      <c r="AN9" s="1632">
        <v>50</v>
      </c>
    </row>
    <row r="10" spans="2:41" x14ac:dyDescent="0.3">
      <c r="B10" s="175" t="s">
        <v>1488</v>
      </c>
      <c r="C10" s="1230">
        <v>27</v>
      </c>
      <c r="D10" s="1230">
        <v>32</v>
      </c>
      <c r="E10" s="1230">
        <v>35</v>
      </c>
      <c r="F10" s="1230">
        <v>37</v>
      </c>
      <c r="G10" s="1231">
        <f>VLOOKUP(B10,'6.4D'!$B$7:$G$48,6,0)</f>
        <v>41</v>
      </c>
      <c r="H10" s="1232">
        <v>2</v>
      </c>
      <c r="I10" s="1229">
        <v>2</v>
      </c>
      <c r="J10" s="1229">
        <v>2</v>
      </c>
      <c r="K10" s="1229"/>
      <c r="L10" s="1229"/>
      <c r="M10" s="39"/>
      <c r="N10" s="39"/>
      <c r="O10" s="39"/>
      <c r="P10" s="39"/>
      <c r="Q10" s="39"/>
      <c r="R10" s="39"/>
      <c r="S10" s="39"/>
      <c r="T10" s="1233" t="s">
        <v>1556</v>
      </c>
      <c r="U10" s="1234">
        <v>400</v>
      </c>
      <c r="V10" s="39">
        <v>400</v>
      </c>
      <c r="W10" s="39"/>
      <c r="X10" s="1233" t="s">
        <v>1556</v>
      </c>
      <c r="Y10" s="1235">
        <v>111</v>
      </c>
      <c r="Z10" s="1235">
        <f t="shared" si="0"/>
        <v>111</v>
      </c>
      <c r="AA10" s="39"/>
      <c r="AB10" s="39"/>
      <c r="AC10" s="39"/>
      <c r="AD10" s="39"/>
      <c r="AE10" s="39"/>
      <c r="AF10" s="39"/>
      <c r="AG10" s="39"/>
      <c r="AH10" s="39"/>
      <c r="AI10" s="39"/>
      <c r="AJ10" s="39"/>
      <c r="AK10" s="39"/>
      <c r="AL10" s="39"/>
      <c r="AM10" s="1229">
        <v>2</v>
      </c>
      <c r="AN10" s="1632">
        <v>2</v>
      </c>
    </row>
    <row r="11" spans="2:41" x14ac:dyDescent="0.3">
      <c r="B11" s="175" t="s">
        <v>645</v>
      </c>
      <c r="C11" s="1230">
        <v>3920</v>
      </c>
      <c r="D11" s="1230">
        <v>4000</v>
      </c>
      <c r="E11" s="1230">
        <v>4062</v>
      </c>
      <c r="F11" s="1230">
        <v>4185</v>
      </c>
      <c r="G11" s="1231">
        <f>VLOOKUP(B11,'6.4D'!$B$7:$G$48,6,0)</f>
        <v>4319</v>
      </c>
      <c r="H11" s="1232">
        <v>237</v>
      </c>
      <c r="I11" s="1229">
        <v>232</v>
      </c>
      <c r="J11" s="1229">
        <v>232</v>
      </c>
      <c r="K11" s="1229">
        <v>181</v>
      </c>
      <c r="L11" s="1229"/>
      <c r="M11" s="39"/>
      <c r="N11" s="39"/>
      <c r="O11" s="39"/>
      <c r="P11" s="39"/>
      <c r="Q11" s="39"/>
      <c r="R11" s="39"/>
      <c r="S11" s="39"/>
      <c r="T11" s="1233" t="s">
        <v>1557</v>
      </c>
      <c r="U11" s="1234">
        <v>127</v>
      </c>
      <c r="V11" s="39">
        <v>129</v>
      </c>
      <c r="W11" s="39"/>
      <c r="X11" s="1233" t="s">
        <v>1557</v>
      </c>
      <c r="Y11" s="1235">
        <v>22</v>
      </c>
      <c r="Z11" s="1235">
        <f t="shared" si="0"/>
        <v>22</v>
      </c>
      <c r="AA11" s="39"/>
      <c r="AB11" s="39"/>
      <c r="AC11" s="39"/>
      <c r="AD11" s="39"/>
      <c r="AE11" s="39"/>
      <c r="AF11" s="39"/>
      <c r="AG11" s="39"/>
      <c r="AH11" s="39"/>
      <c r="AI11" s="39"/>
      <c r="AJ11" s="39"/>
      <c r="AK11" s="39"/>
      <c r="AL11" s="39"/>
      <c r="AM11" s="1229">
        <v>232</v>
      </c>
      <c r="AN11" s="1632">
        <v>232</v>
      </c>
    </row>
    <row r="12" spans="2:41" x14ac:dyDescent="0.3">
      <c r="B12" s="175" t="s">
        <v>223</v>
      </c>
      <c r="C12" s="1230">
        <v>6028</v>
      </c>
      <c r="D12" s="1230">
        <v>6348</v>
      </c>
      <c r="E12" s="1230">
        <v>6611</v>
      </c>
      <c r="F12" s="1230">
        <v>7033</v>
      </c>
      <c r="G12" s="1231">
        <f>VLOOKUP(B12,'6.4D'!$B$7:$G$48,6,0)</f>
        <v>7453</v>
      </c>
      <c r="H12" s="1232">
        <v>248</v>
      </c>
      <c r="I12" s="1229">
        <v>285</v>
      </c>
      <c r="J12" s="1229">
        <v>285</v>
      </c>
      <c r="K12" s="1229">
        <v>179</v>
      </c>
      <c r="L12" s="1229"/>
      <c r="M12" s="39"/>
      <c r="N12" s="39"/>
      <c r="O12" s="39"/>
      <c r="P12" s="39"/>
      <c r="Q12" s="39"/>
      <c r="R12" s="39"/>
      <c r="S12" s="39"/>
      <c r="T12" s="1233" t="s">
        <v>1558</v>
      </c>
      <c r="U12" s="1234">
        <v>5502</v>
      </c>
      <c r="V12" s="39">
        <v>5597</v>
      </c>
      <c r="W12" s="39"/>
      <c r="X12" s="1233" t="s">
        <v>1558</v>
      </c>
      <c r="Y12" s="1235">
        <v>470</v>
      </c>
      <c r="Z12" s="1235">
        <f t="shared" si="0"/>
        <v>470</v>
      </c>
      <c r="AA12" s="39"/>
      <c r="AB12" s="39"/>
      <c r="AC12" s="39"/>
      <c r="AD12" s="39"/>
      <c r="AE12" s="39"/>
      <c r="AF12" s="39"/>
      <c r="AG12" s="39"/>
      <c r="AH12" s="39"/>
      <c r="AI12" s="39"/>
      <c r="AJ12" s="39"/>
      <c r="AK12" s="39"/>
      <c r="AL12" s="39"/>
      <c r="AM12" s="1229">
        <v>285</v>
      </c>
      <c r="AN12" s="1632">
        <v>285</v>
      </c>
    </row>
    <row r="13" spans="2:41" x14ac:dyDescent="0.3">
      <c r="B13" s="175" t="s">
        <v>709</v>
      </c>
      <c r="C13" s="1230">
        <v>10162</v>
      </c>
      <c r="D13" s="1230">
        <v>10709</v>
      </c>
      <c r="E13" s="1230">
        <v>11309</v>
      </c>
      <c r="F13" s="1230">
        <v>12393</v>
      </c>
      <c r="G13" s="1231">
        <f>VLOOKUP(B13,'6.4D'!$B$7:$G$48,6,0)</f>
        <v>13317</v>
      </c>
      <c r="H13" s="1232">
        <v>674</v>
      </c>
      <c r="I13" s="1229">
        <v>772</v>
      </c>
      <c r="J13" s="1229">
        <v>758</v>
      </c>
      <c r="K13" s="1229">
        <v>604</v>
      </c>
      <c r="L13" s="1229"/>
      <c r="M13" s="39"/>
      <c r="N13" s="39"/>
      <c r="O13" s="39"/>
      <c r="P13" s="39"/>
      <c r="Q13" s="39"/>
      <c r="R13" s="39"/>
      <c r="S13" s="39"/>
      <c r="T13" s="1233" t="s">
        <v>1559</v>
      </c>
      <c r="U13" s="1234">
        <v>3660</v>
      </c>
      <c r="V13" s="39">
        <v>3711</v>
      </c>
      <c r="W13" s="39"/>
      <c r="X13" s="1233" t="s">
        <v>1559</v>
      </c>
      <c r="Y13" s="1235">
        <v>139</v>
      </c>
      <c r="Z13" s="1235">
        <f t="shared" si="0"/>
        <v>139</v>
      </c>
      <c r="AA13" s="39"/>
      <c r="AB13" s="39"/>
      <c r="AC13" s="39"/>
      <c r="AD13" s="39"/>
      <c r="AE13" s="39"/>
      <c r="AF13" s="39"/>
      <c r="AG13" s="39"/>
      <c r="AH13" s="39"/>
      <c r="AI13" s="39"/>
      <c r="AJ13" s="39"/>
      <c r="AK13" s="39"/>
      <c r="AL13" s="39"/>
      <c r="AM13" s="1229">
        <v>758</v>
      </c>
      <c r="AN13" s="1632">
        <v>758</v>
      </c>
    </row>
    <row r="14" spans="2:41" x14ac:dyDescent="0.3">
      <c r="B14" s="175" t="s">
        <v>757</v>
      </c>
      <c r="C14" s="1230">
        <v>763</v>
      </c>
      <c r="D14" s="1230">
        <v>798</v>
      </c>
      <c r="E14" s="1230">
        <v>844</v>
      </c>
      <c r="F14" s="1230">
        <v>918</v>
      </c>
      <c r="G14" s="1231">
        <f>VLOOKUP(B14,'6.4D'!$B$7:$G$48,6,0)</f>
        <v>974</v>
      </c>
      <c r="H14" s="1232">
        <v>69</v>
      </c>
      <c r="I14" s="1229">
        <v>73</v>
      </c>
      <c r="J14" s="1229">
        <v>73</v>
      </c>
      <c r="K14" s="1229">
        <v>23</v>
      </c>
      <c r="L14" s="1229"/>
      <c r="M14" s="39"/>
      <c r="N14" s="39"/>
      <c r="O14" s="39"/>
      <c r="P14" s="39"/>
      <c r="Q14" s="39"/>
      <c r="R14" s="39"/>
      <c r="S14" s="39"/>
      <c r="T14" s="1233" t="s">
        <v>1560</v>
      </c>
      <c r="U14" s="1234">
        <v>638</v>
      </c>
      <c r="V14" s="39">
        <v>661</v>
      </c>
      <c r="W14" s="39"/>
      <c r="X14" s="1233" t="s">
        <v>1560</v>
      </c>
      <c r="Y14" s="1235">
        <v>26</v>
      </c>
      <c r="Z14" s="1235">
        <f t="shared" si="0"/>
        <v>26</v>
      </c>
      <c r="AA14" s="39"/>
      <c r="AB14" s="39"/>
      <c r="AC14" s="39"/>
      <c r="AD14" s="39"/>
      <c r="AE14" s="39"/>
      <c r="AF14" s="39"/>
      <c r="AG14" s="39"/>
      <c r="AH14" s="39"/>
      <c r="AI14" s="39"/>
      <c r="AJ14" s="39"/>
      <c r="AK14" s="39"/>
      <c r="AL14" s="39"/>
      <c r="AM14" s="1229">
        <v>73</v>
      </c>
      <c r="AN14" s="1632">
        <v>73</v>
      </c>
    </row>
    <row r="15" spans="2:41" ht="25.5" customHeight="1" x14ac:dyDescent="0.3">
      <c r="B15" s="1558" t="s">
        <v>1489</v>
      </c>
      <c r="C15" s="56">
        <v>26226</v>
      </c>
      <c r="D15" s="56">
        <v>27450</v>
      </c>
      <c r="E15" s="56">
        <v>28607</v>
      </c>
      <c r="F15" s="56">
        <v>30725</v>
      </c>
      <c r="G15" s="1237">
        <f>+SUM(G5:G14)</f>
        <v>32666</v>
      </c>
      <c r="H15" s="1225">
        <v>1563</v>
      </c>
      <c r="I15" s="56">
        <v>1712</v>
      </c>
      <c r="J15" s="56">
        <v>1698</v>
      </c>
      <c r="K15" s="56">
        <f>SUM(K5:K14)</f>
        <v>1447</v>
      </c>
      <c r="L15" s="115" t="e">
        <f>(E15-#REF!)*100/#REF!</f>
        <v>#REF!</v>
      </c>
      <c r="M15" s="39">
        <v>4</v>
      </c>
      <c r="N15" s="39"/>
      <c r="O15" s="39" t="e">
        <f>100*(#REF!-E15)/#REF!</f>
        <v>#REF!</v>
      </c>
      <c r="P15" s="39"/>
      <c r="Q15" s="39"/>
      <c r="R15" s="39"/>
      <c r="S15" s="39"/>
      <c r="T15" s="1233" t="s">
        <v>1561</v>
      </c>
      <c r="U15" s="1234">
        <v>1634</v>
      </c>
      <c r="V15" s="39">
        <v>1660</v>
      </c>
      <c r="W15" s="39"/>
      <c r="X15" s="1233" t="s">
        <v>1561</v>
      </c>
      <c r="Y15" s="1235">
        <v>87</v>
      </c>
      <c r="Z15" s="1235">
        <f t="shared" si="0"/>
        <v>87</v>
      </c>
      <c r="AA15" s="39"/>
      <c r="AB15" s="39"/>
      <c r="AC15" s="39"/>
      <c r="AD15" s="39"/>
      <c r="AE15" s="39"/>
      <c r="AF15" s="39"/>
      <c r="AG15" s="39"/>
      <c r="AH15" s="39"/>
      <c r="AI15" s="39"/>
      <c r="AJ15" s="39"/>
      <c r="AK15" s="39"/>
      <c r="AL15" s="39"/>
      <c r="AM15" s="56">
        <v>1698</v>
      </c>
      <c r="AN15" s="1237">
        <f>SUM(AN5:AN14)</f>
        <v>1698</v>
      </c>
      <c r="AO15" s="882"/>
    </row>
    <row r="16" spans="2:41" x14ac:dyDescent="0.3">
      <c r="B16" s="175" t="s">
        <v>1490</v>
      </c>
      <c r="C16" s="1230">
        <v>19</v>
      </c>
      <c r="D16" s="1230">
        <v>19</v>
      </c>
      <c r="E16" s="1230">
        <v>19</v>
      </c>
      <c r="F16" s="1230">
        <v>20</v>
      </c>
      <c r="G16" s="1231">
        <f>VLOOKUP(B16,'6.4D'!$B$7:$G$48,6,0)</f>
        <v>23</v>
      </c>
      <c r="H16" s="1232">
        <v>2</v>
      </c>
      <c r="I16" s="1229">
        <v>2</v>
      </c>
      <c r="J16" s="1229">
        <v>2</v>
      </c>
      <c r="K16" s="1229">
        <v>0</v>
      </c>
      <c r="L16" s="115"/>
      <c r="M16" s="39"/>
      <c r="N16" s="39"/>
      <c r="O16" s="39"/>
      <c r="P16" s="39"/>
      <c r="Q16" s="39"/>
      <c r="R16" s="39"/>
      <c r="S16" s="39"/>
      <c r="T16" s="1233" t="s">
        <v>1562</v>
      </c>
      <c r="U16" s="1234">
        <v>5929</v>
      </c>
      <c r="V16" s="39">
        <v>6008</v>
      </c>
      <c r="W16" s="39"/>
      <c r="X16" s="1233" t="s">
        <v>1562</v>
      </c>
      <c r="Y16" s="1235">
        <v>309</v>
      </c>
      <c r="Z16" s="1235">
        <f t="shared" si="0"/>
        <v>309</v>
      </c>
      <c r="AA16" s="39"/>
      <c r="AB16" s="39"/>
      <c r="AC16" s="39"/>
      <c r="AD16" s="39"/>
      <c r="AE16" s="39"/>
      <c r="AF16" s="39"/>
      <c r="AG16" s="39"/>
      <c r="AH16" s="39"/>
      <c r="AI16" s="39"/>
      <c r="AJ16" s="39"/>
      <c r="AK16" s="39"/>
      <c r="AL16" s="39"/>
      <c r="AM16" s="1229">
        <v>2</v>
      </c>
      <c r="AN16" s="1632">
        <v>2</v>
      </c>
    </row>
    <row r="17" spans="2:41" x14ac:dyDescent="0.3">
      <c r="B17" s="175" t="s">
        <v>426</v>
      </c>
      <c r="C17" s="1230">
        <v>3341</v>
      </c>
      <c r="D17" s="1230">
        <v>3523</v>
      </c>
      <c r="E17" s="1230">
        <v>3610</v>
      </c>
      <c r="F17" s="1230">
        <v>3767</v>
      </c>
      <c r="G17" s="1231">
        <f>VLOOKUP(B17,'6.4D'!$B$7:$G$48,6,0)</f>
        <v>3991</v>
      </c>
      <c r="H17" s="1232">
        <v>362</v>
      </c>
      <c r="I17" s="1229">
        <v>349</v>
      </c>
      <c r="J17" s="1229">
        <v>349</v>
      </c>
      <c r="K17" s="1229">
        <v>66</v>
      </c>
      <c r="L17" s="115"/>
      <c r="M17" s="39"/>
      <c r="N17" s="39"/>
      <c r="O17" s="39"/>
      <c r="P17" s="39"/>
      <c r="Q17" s="39"/>
      <c r="R17" s="39"/>
      <c r="S17" s="39"/>
      <c r="T17" s="1233" t="s">
        <v>1563</v>
      </c>
      <c r="U17" s="1234">
        <v>2559</v>
      </c>
      <c r="V17" s="39">
        <v>2608</v>
      </c>
      <c r="W17" s="39"/>
      <c r="X17" s="1233" t="s">
        <v>1563</v>
      </c>
      <c r="Y17" s="1235">
        <v>234</v>
      </c>
      <c r="Z17" s="1235">
        <f t="shared" si="0"/>
        <v>234</v>
      </c>
      <c r="AA17" s="39"/>
      <c r="AB17" s="39"/>
      <c r="AC17" s="39"/>
      <c r="AD17" s="39"/>
      <c r="AE17" s="39"/>
      <c r="AF17" s="39"/>
      <c r="AG17" s="39"/>
      <c r="AH17" s="39"/>
      <c r="AI17" s="39"/>
      <c r="AJ17" s="39"/>
      <c r="AK17" s="39"/>
      <c r="AL17" s="39"/>
      <c r="AM17" s="1229">
        <v>349</v>
      </c>
      <c r="AN17" s="1632">
        <v>349</v>
      </c>
    </row>
    <row r="18" spans="2:41" x14ac:dyDescent="0.3">
      <c r="B18" s="175" t="s">
        <v>541</v>
      </c>
      <c r="C18" s="1230">
        <v>1634</v>
      </c>
      <c r="D18" s="1230">
        <v>1681</v>
      </c>
      <c r="E18" s="1230">
        <v>1723</v>
      </c>
      <c r="F18" s="1230">
        <v>1897</v>
      </c>
      <c r="G18" s="1231">
        <f>VLOOKUP(B18,'6.4D'!$B$7:$G$48,6,0)</f>
        <v>2008</v>
      </c>
      <c r="H18" s="1232">
        <v>87</v>
      </c>
      <c r="I18" s="1229">
        <v>110</v>
      </c>
      <c r="J18" s="1229">
        <v>109</v>
      </c>
      <c r="K18" s="1229">
        <v>57</v>
      </c>
      <c r="L18" s="115"/>
      <c r="M18" s="39"/>
      <c r="N18" s="39"/>
      <c r="O18" s="39"/>
      <c r="P18" s="39"/>
      <c r="Q18" s="39"/>
      <c r="R18" s="39"/>
      <c r="S18" s="39"/>
      <c r="T18" s="1233" t="s">
        <v>1564</v>
      </c>
      <c r="U18" s="1234">
        <v>5566</v>
      </c>
      <c r="V18" s="39">
        <v>5691</v>
      </c>
      <c r="W18" s="39"/>
      <c r="X18" s="1233" t="s">
        <v>1564</v>
      </c>
      <c r="Y18" s="1235">
        <v>284</v>
      </c>
      <c r="Z18" s="1235">
        <f t="shared" si="0"/>
        <v>284</v>
      </c>
      <c r="AA18" s="39"/>
      <c r="AB18" s="39"/>
      <c r="AC18" s="39"/>
      <c r="AD18" s="39"/>
      <c r="AE18" s="39"/>
      <c r="AF18" s="39"/>
      <c r="AG18" s="39"/>
      <c r="AH18" s="39"/>
      <c r="AI18" s="39"/>
      <c r="AJ18" s="39"/>
      <c r="AK18" s="39"/>
      <c r="AL18" s="39"/>
      <c r="AM18" s="1229">
        <v>109</v>
      </c>
      <c r="AN18" s="1632">
        <v>109</v>
      </c>
    </row>
    <row r="19" spans="2:41" x14ac:dyDescent="0.3">
      <c r="B19" s="175" t="s">
        <v>631</v>
      </c>
      <c r="C19" s="1230">
        <v>2246</v>
      </c>
      <c r="D19" s="1230">
        <v>2340</v>
      </c>
      <c r="E19" s="1230">
        <v>2420</v>
      </c>
      <c r="F19" s="1230">
        <v>2648</v>
      </c>
      <c r="G19" s="1231">
        <f>VLOOKUP(B19,'6.4D'!$B$7:$G$48,6,0)</f>
        <v>2870</v>
      </c>
      <c r="H19" s="1232">
        <v>176</v>
      </c>
      <c r="I19" s="1229">
        <v>172</v>
      </c>
      <c r="J19" s="1229">
        <v>172</v>
      </c>
      <c r="K19" s="1229">
        <v>45</v>
      </c>
      <c r="L19" s="115"/>
      <c r="M19" s="39"/>
      <c r="N19" s="39"/>
      <c r="O19" s="39"/>
      <c r="P19" s="39"/>
      <c r="Q19" s="39"/>
      <c r="R19" s="39"/>
      <c r="S19" s="39"/>
      <c r="T19" s="1233" t="s">
        <v>1565</v>
      </c>
      <c r="U19" s="1234">
        <v>7667</v>
      </c>
      <c r="V19" s="39">
        <v>7817</v>
      </c>
      <c r="W19" s="39"/>
      <c r="X19" s="1233" t="s">
        <v>1565</v>
      </c>
      <c r="Y19" s="1235">
        <v>752</v>
      </c>
      <c r="Z19" s="1235">
        <f t="shared" si="0"/>
        <v>752</v>
      </c>
      <c r="AA19" s="39"/>
      <c r="AB19" s="39"/>
      <c r="AC19" s="39"/>
      <c r="AD19" s="39"/>
      <c r="AE19" s="39"/>
      <c r="AF19" s="39"/>
      <c r="AG19" s="39"/>
      <c r="AH19" s="39"/>
      <c r="AI19" s="39"/>
      <c r="AJ19" s="39"/>
      <c r="AK19" s="39"/>
      <c r="AL19" s="39"/>
      <c r="AM19" s="1229">
        <v>172</v>
      </c>
      <c r="AN19" s="1632">
        <v>172</v>
      </c>
    </row>
    <row r="20" spans="2:41" x14ac:dyDescent="0.3">
      <c r="B20" s="175" t="s">
        <v>225</v>
      </c>
      <c r="C20" s="1230">
        <v>2894</v>
      </c>
      <c r="D20" s="1230">
        <v>3006</v>
      </c>
      <c r="E20" s="1230">
        <v>3066</v>
      </c>
      <c r="F20" s="1230">
        <v>3307</v>
      </c>
      <c r="G20" s="1231">
        <f>VLOOKUP(B20,'6.4D'!$B$7:$G$48,6,0)</f>
        <v>3522</v>
      </c>
      <c r="H20" s="1232">
        <v>455</v>
      </c>
      <c r="I20" s="1229">
        <v>470</v>
      </c>
      <c r="J20" s="1229">
        <v>470</v>
      </c>
      <c r="K20" s="1229">
        <v>39</v>
      </c>
      <c r="L20" s="115"/>
      <c r="M20" s="39"/>
      <c r="N20" s="39"/>
      <c r="O20" s="39"/>
      <c r="P20" s="39"/>
      <c r="Q20" s="39"/>
      <c r="R20" s="39"/>
      <c r="S20" s="39"/>
      <c r="T20" s="1233" t="s">
        <v>1566</v>
      </c>
      <c r="U20" s="1234">
        <v>178</v>
      </c>
      <c r="V20" s="39">
        <v>182</v>
      </c>
      <c r="W20" s="39"/>
      <c r="X20" s="1233" t="s">
        <v>1566</v>
      </c>
      <c r="Y20" s="1235">
        <v>36</v>
      </c>
      <c r="Z20" s="1235">
        <f t="shared" si="0"/>
        <v>36</v>
      </c>
      <c r="AA20" s="39"/>
      <c r="AB20" s="39"/>
      <c r="AC20" s="39"/>
      <c r="AD20" s="39"/>
      <c r="AE20" s="39"/>
      <c r="AF20" s="39"/>
      <c r="AG20" s="39"/>
      <c r="AH20" s="39"/>
      <c r="AI20" s="39"/>
      <c r="AJ20" s="39"/>
      <c r="AK20" s="39"/>
      <c r="AL20" s="39"/>
      <c r="AM20" s="1229">
        <v>470</v>
      </c>
      <c r="AN20" s="1632">
        <v>470</v>
      </c>
    </row>
    <row r="21" spans="2:41" x14ac:dyDescent="0.3">
      <c r="B21" s="1399" t="s">
        <v>1491</v>
      </c>
      <c r="C21" s="56">
        <v>10134</v>
      </c>
      <c r="D21" s="56">
        <v>10569</v>
      </c>
      <c r="E21" s="56">
        <v>10838</v>
      </c>
      <c r="F21" s="56">
        <v>11639</v>
      </c>
      <c r="G21" s="1237">
        <f>+SUM(G16:G20)</f>
        <v>12414</v>
      </c>
      <c r="H21" s="1225">
        <v>1082</v>
      </c>
      <c r="I21" s="56">
        <v>1103</v>
      </c>
      <c r="J21" s="56">
        <v>1102</v>
      </c>
      <c r="K21" s="56">
        <f>SUM(K16:K20)</f>
        <v>207</v>
      </c>
      <c r="L21" s="115" t="e">
        <f>(E21-#REF!)*100/#REF!</f>
        <v>#REF!</v>
      </c>
      <c r="M21" s="39">
        <v>5</v>
      </c>
      <c r="N21" s="39"/>
      <c r="O21" s="39" t="e">
        <f>100*(#REF!-E21)/#REF!</f>
        <v>#REF!</v>
      </c>
      <c r="P21" s="39"/>
      <c r="Q21" s="39"/>
      <c r="R21" s="39"/>
      <c r="S21" s="39"/>
      <c r="T21" s="1233" t="s">
        <v>1567</v>
      </c>
      <c r="U21" s="1234">
        <v>270</v>
      </c>
      <c r="V21" s="39">
        <v>271</v>
      </c>
      <c r="W21" s="39"/>
      <c r="X21" s="1233" t="s">
        <v>1567</v>
      </c>
      <c r="Y21" s="1235">
        <v>35</v>
      </c>
      <c r="Z21" s="1235">
        <f t="shared" si="0"/>
        <v>35</v>
      </c>
      <c r="AA21" s="39"/>
      <c r="AB21" s="39"/>
      <c r="AC21" s="39"/>
      <c r="AD21" s="39"/>
      <c r="AE21" s="39"/>
      <c r="AF21" s="39"/>
      <c r="AG21" s="39"/>
      <c r="AH21" s="39"/>
      <c r="AI21" s="39"/>
      <c r="AJ21" s="39"/>
      <c r="AK21" s="39"/>
      <c r="AL21" s="39"/>
      <c r="AM21" s="56">
        <v>1102</v>
      </c>
      <c r="AN21" s="1237">
        <f>SUM(AN16:AN20)</f>
        <v>1102</v>
      </c>
      <c r="AO21" s="882"/>
    </row>
    <row r="22" spans="2:41" x14ac:dyDescent="0.3">
      <c r="B22" s="175" t="s">
        <v>220</v>
      </c>
      <c r="C22" s="1230">
        <v>178</v>
      </c>
      <c r="D22" s="1230">
        <v>195</v>
      </c>
      <c r="E22" s="1230">
        <v>201</v>
      </c>
      <c r="F22" s="1230">
        <v>277</v>
      </c>
      <c r="G22" s="1231">
        <f>VLOOKUP(B22,'6.4D'!$B$7:$G$48,6,0)</f>
        <v>326</v>
      </c>
      <c r="H22" s="1232">
        <v>33</v>
      </c>
      <c r="I22" s="1229">
        <v>30</v>
      </c>
      <c r="J22" s="1229">
        <v>30</v>
      </c>
      <c r="K22" s="1229">
        <v>2</v>
      </c>
      <c r="L22" s="115"/>
      <c r="M22" s="39"/>
      <c r="N22" s="39"/>
      <c r="O22" s="39"/>
      <c r="P22" s="39"/>
      <c r="Q22" s="39"/>
      <c r="R22" s="39"/>
      <c r="S22" s="39"/>
      <c r="T22" s="1233" t="s">
        <v>1568</v>
      </c>
      <c r="U22" s="1234">
        <v>72</v>
      </c>
      <c r="V22" s="39">
        <v>78</v>
      </c>
      <c r="W22" s="39"/>
      <c r="X22" s="1233" t="s">
        <v>1568</v>
      </c>
      <c r="Y22" s="1235">
        <v>19</v>
      </c>
      <c r="Z22" s="1235">
        <f t="shared" si="0"/>
        <v>19</v>
      </c>
      <c r="AA22" s="39"/>
      <c r="AB22" s="39"/>
      <c r="AC22" s="39"/>
      <c r="AD22" s="39"/>
      <c r="AE22" s="39"/>
      <c r="AF22" s="39"/>
      <c r="AG22" s="39"/>
      <c r="AH22" s="39"/>
      <c r="AI22" s="39"/>
      <c r="AJ22" s="39"/>
      <c r="AK22" s="39"/>
      <c r="AL22" s="39"/>
      <c r="AM22" s="1229">
        <v>30</v>
      </c>
      <c r="AN22" s="1632">
        <v>30</v>
      </c>
    </row>
    <row r="23" spans="2:41" x14ac:dyDescent="0.3">
      <c r="B23" s="175" t="s">
        <v>331</v>
      </c>
      <c r="C23" s="1230">
        <v>1312</v>
      </c>
      <c r="D23" s="1230">
        <v>1417</v>
      </c>
      <c r="E23" s="1230">
        <v>1459</v>
      </c>
      <c r="F23" s="1230">
        <v>1579</v>
      </c>
      <c r="G23" s="1231">
        <f>VLOOKUP(B23,'6.4D'!$B$7:$G$48,6,0)</f>
        <v>1718</v>
      </c>
      <c r="H23" s="1232">
        <v>359</v>
      </c>
      <c r="I23" s="1229">
        <v>227</v>
      </c>
      <c r="J23" s="1229">
        <v>227</v>
      </c>
      <c r="K23" s="1229">
        <v>0</v>
      </c>
      <c r="L23" s="115"/>
      <c r="M23" s="39"/>
      <c r="N23" s="39"/>
      <c r="O23" s="39"/>
      <c r="P23" s="39"/>
      <c r="Q23" s="39"/>
      <c r="R23" s="39"/>
      <c r="S23" s="39"/>
      <c r="T23" s="1233" t="s">
        <v>1569</v>
      </c>
      <c r="U23" s="1234">
        <v>150</v>
      </c>
      <c r="V23" s="39">
        <v>154</v>
      </c>
      <c r="W23" s="39"/>
      <c r="X23" s="1233" t="s">
        <v>1569</v>
      </c>
      <c r="Y23" s="1235">
        <v>19</v>
      </c>
      <c r="Z23" s="1235">
        <f t="shared" si="0"/>
        <v>19</v>
      </c>
      <c r="AA23" s="39"/>
      <c r="AB23" s="39"/>
      <c r="AC23" s="39"/>
      <c r="AD23" s="39"/>
      <c r="AE23" s="39"/>
      <c r="AF23" s="39"/>
      <c r="AG23" s="39"/>
      <c r="AH23" s="39"/>
      <c r="AI23" s="39"/>
      <c r="AJ23" s="39"/>
      <c r="AK23" s="39"/>
      <c r="AL23" s="39"/>
      <c r="AM23" s="1229">
        <v>227</v>
      </c>
      <c r="AN23" s="1632">
        <v>227</v>
      </c>
    </row>
    <row r="24" spans="2:41" x14ac:dyDescent="0.3">
      <c r="B24" s="175" t="s">
        <v>1492</v>
      </c>
      <c r="C24" s="1230">
        <v>178</v>
      </c>
      <c r="D24" s="1230">
        <v>195</v>
      </c>
      <c r="E24" s="1230">
        <v>206</v>
      </c>
      <c r="F24" s="1230">
        <v>215</v>
      </c>
      <c r="G24" s="1231">
        <f>VLOOKUP(B24,'6.4D'!$B$7:$G$48,6,0)</f>
        <v>223</v>
      </c>
      <c r="H24" s="1232">
        <v>36</v>
      </c>
      <c r="I24" s="1229">
        <v>40</v>
      </c>
      <c r="J24" s="1229">
        <v>40</v>
      </c>
      <c r="K24" s="1229">
        <v>0</v>
      </c>
      <c r="L24" s="115"/>
      <c r="M24" s="39"/>
      <c r="N24" s="39"/>
      <c r="O24" s="39"/>
      <c r="P24" s="39"/>
      <c r="Q24" s="39"/>
      <c r="R24" s="39"/>
      <c r="S24" s="39"/>
      <c r="T24" s="1233" t="s">
        <v>1570</v>
      </c>
      <c r="U24" s="1234">
        <v>2246</v>
      </c>
      <c r="V24" s="39">
        <v>2289</v>
      </c>
      <c r="W24" s="39"/>
      <c r="X24" s="1233" t="s">
        <v>1570</v>
      </c>
      <c r="Y24" s="1235">
        <v>176</v>
      </c>
      <c r="Z24" s="1235">
        <f t="shared" si="0"/>
        <v>176</v>
      </c>
      <c r="AA24" s="39"/>
      <c r="AB24" s="39"/>
      <c r="AC24" s="39"/>
      <c r="AD24" s="39"/>
      <c r="AE24" s="39"/>
      <c r="AF24" s="39"/>
      <c r="AG24" s="39"/>
      <c r="AH24" s="39"/>
      <c r="AI24" s="39"/>
      <c r="AJ24" s="39"/>
      <c r="AK24" s="39"/>
      <c r="AL24" s="39"/>
      <c r="AM24" s="1229">
        <v>40</v>
      </c>
      <c r="AN24" s="1632">
        <v>40</v>
      </c>
    </row>
    <row r="25" spans="2:41" x14ac:dyDescent="0.3">
      <c r="B25" s="175" t="s">
        <v>1493</v>
      </c>
      <c r="C25" s="1230">
        <v>270</v>
      </c>
      <c r="D25" s="1230">
        <v>285</v>
      </c>
      <c r="E25" s="1230">
        <v>294</v>
      </c>
      <c r="F25" s="1230">
        <v>319</v>
      </c>
      <c r="G25" s="1231">
        <f>VLOOKUP(B25,'6.4D'!$B$7:$G$48,6,0)</f>
        <v>366</v>
      </c>
      <c r="H25" s="1232">
        <v>35</v>
      </c>
      <c r="I25" s="1229">
        <v>31</v>
      </c>
      <c r="J25" s="1229">
        <v>31</v>
      </c>
      <c r="K25" s="1229">
        <v>0</v>
      </c>
      <c r="L25" s="115"/>
      <c r="M25" s="39"/>
      <c r="N25" s="39"/>
      <c r="O25" s="39"/>
      <c r="P25" s="39"/>
      <c r="Q25" s="39"/>
      <c r="R25" s="39"/>
      <c r="S25" s="39"/>
      <c r="T25" s="1233" t="s">
        <v>1571</v>
      </c>
      <c r="U25" s="1234">
        <v>3920</v>
      </c>
      <c r="V25" s="39">
        <v>3963</v>
      </c>
      <c r="W25" s="39"/>
      <c r="X25" s="1233" t="s">
        <v>1571</v>
      </c>
      <c r="Y25" s="1235">
        <v>237</v>
      </c>
      <c r="Z25" s="1235">
        <f t="shared" si="0"/>
        <v>237</v>
      </c>
      <c r="AA25" s="39"/>
      <c r="AB25" s="39"/>
      <c r="AC25" s="39"/>
      <c r="AD25" s="39"/>
      <c r="AE25" s="39"/>
      <c r="AF25" s="39"/>
      <c r="AG25" s="39"/>
      <c r="AH25" s="39"/>
      <c r="AI25" s="39"/>
      <c r="AJ25" s="39"/>
      <c r="AK25" s="39"/>
      <c r="AL25" s="39"/>
      <c r="AM25" s="1229">
        <v>31</v>
      </c>
      <c r="AN25" s="1632">
        <v>31</v>
      </c>
    </row>
    <row r="26" spans="2:41" x14ac:dyDescent="0.3">
      <c r="B26" s="175" t="s">
        <v>1494</v>
      </c>
      <c r="C26" s="1230">
        <v>72</v>
      </c>
      <c r="D26" s="1230">
        <v>96</v>
      </c>
      <c r="E26" s="1230">
        <v>105</v>
      </c>
      <c r="F26" s="1230">
        <v>113</v>
      </c>
      <c r="G26" s="1231">
        <f>VLOOKUP(B26,'6.4D'!$B$7:$G$48,6,0)</f>
        <v>134</v>
      </c>
      <c r="H26" s="1232">
        <v>19</v>
      </c>
      <c r="I26" s="1229">
        <v>27</v>
      </c>
      <c r="J26" s="1229">
        <v>27</v>
      </c>
      <c r="K26" s="1229">
        <v>0</v>
      </c>
      <c r="L26" s="115"/>
      <c r="M26" s="39"/>
      <c r="N26" s="39"/>
      <c r="O26" s="39"/>
      <c r="P26" s="39"/>
      <c r="Q26" s="39"/>
      <c r="R26" s="39"/>
      <c r="S26" s="39"/>
      <c r="T26" s="1233" t="s">
        <v>1572</v>
      </c>
      <c r="U26" s="1234">
        <v>6028</v>
      </c>
      <c r="V26" s="39">
        <v>6188</v>
      </c>
      <c r="W26" s="39"/>
      <c r="X26" s="1233" t="s">
        <v>1572</v>
      </c>
      <c r="Y26" s="1235">
        <v>248</v>
      </c>
      <c r="Z26" s="1235">
        <f t="shared" si="0"/>
        <v>248</v>
      </c>
      <c r="AA26" s="39"/>
      <c r="AB26" s="39"/>
      <c r="AC26" s="39"/>
      <c r="AD26" s="39"/>
      <c r="AE26" s="39"/>
      <c r="AF26" s="39"/>
      <c r="AG26" s="39"/>
      <c r="AH26" s="39"/>
      <c r="AI26" s="39"/>
      <c r="AJ26" s="39"/>
      <c r="AK26" s="39"/>
      <c r="AL26" s="39"/>
      <c r="AM26" s="1229">
        <v>27</v>
      </c>
      <c r="AN26" s="1632">
        <v>27</v>
      </c>
    </row>
    <row r="27" spans="2:41" x14ac:dyDescent="0.3">
      <c r="B27" s="175" t="s">
        <v>1495</v>
      </c>
      <c r="C27" s="1230">
        <v>150</v>
      </c>
      <c r="D27" s="1230">
        <v>167</v>
      </c>
      <c r="E27" s="1230">
        <v>190</v>
      </c>
      <c r="F27" s="1230">
        <v>225</v>
      </c>
      <c r="G27" s="1231">
        <f>VLOOKUP(B27,'6.4D'!$B$7:$G$48,6,0)</f>
        <v>248</v>
      </c>
      <c r="H27" s="1232">
        <v>19</v>
      </c>
      <c r="I27" s="1229">
        <v>19</v>
      </c>
      <c r="J27" s="1229">
        <v>19</v>
      </c>
      <c r="K27" s="1229">
        <v>0</v>
      </c>
      <c r="L27" s="115"/>
      <c r="M27" s="39"/>
      <c r="N27" s="39"/>
      <c r="O27" s="39"/>
      <c r="P27" s="39"/>
      <c r="Q27" s="39"/>
      <c r="R27" s="39"/>
      <c r="S27" s="39"/>
      <c r="T27" s="1233" t="s">
        <v>1573</v>
      </c>
      <c r="U27" s="1234">
        <v>63</v>
      </c>
      <c r="V27" s="39">
        <v>64</v>
      </c>
      <c r="W27" s="39"/>
      <c r="X27" s="1233" t="s">
        <v>1573</v>
      </c>
      <c r="Y27" s="1235">
        <v>12</v>
      </c>
      <c r="Z27" s="1235">
        <f t="shared" si="0"/>
        <v>12</v>
      </c>
      <c r="AA27" s="39"/>
      <c r="AB27" s="39"/>
      <c r="AC27" s="39"/>
      <c r="AD27" s="39"/>
      <c r="AE27" s="39"/>
      <c r="AF27" s="39"/>
      <c r="AG27" s="39"/>
      <c r="AH27" s="39"/>
      <c r="AI27" s="39"/>
      <c r="AJ27" s="39"/>
      <c r="AK27" s="39"/>
      <c r="AL27" s="39"/>
      <c r="AM27" s="1229">
        <v>19</v>
      </c>
      <c r="AN27" s="1632">
        <v>19</v>
      </c>
    </row>
    <row r="28" spans="2:41" x14ac:dyDescent="0.3">
      <c r="B28" s="175" t="s">
        <v>1496</v>
      </c>
      <c r="C28" s="1230">
        <v>63</v>
      </c>
      <c r="D28" s="1230">
        <v>65</v>
      </c>
      <c r="E28" s="1230">
        <v>69</v>
      </c>
      <c r="F28" s="1230">
        <v>75</v>
      </c>
      <c r="G28" s="1231">
        <f>VLOOKUP(B28,'6.4D'!$B$7:$G$48,6,0)</f>
        <v>78</v>
      </c>
      <c r="H28" s="1232">
        <v>12</v>
      </c>
      <c r="I28" s="1229">
        <v>7</v>
      </c>
      <c r="J28" s="1229">
        <v>7</v>
      </c>
      <c r="K28" s="1229">
        <v>0</v>
      </c>
      <c r="L28" s="115"/>
      <c r="M28" s="39"/>
      <c r="N28" s="39"/>
      <c r="O28" s="39"/>
      <c r="P28" s="39"/>
      <c r="Q28" s="39"/>
      <c r="R28" s="39"/>
      <c r="S28" s="39"/>
      <c r="T28" s="1233" t="s">
        <v>1574</v>
      </c>
      <c r="U28" s="1234">
        <v>6745</v>
      </c>
      <c r="V28" s="39">
        <v>6893</v>
      </c>
      <c r="W28" s="39"/>
      <c r="X28" s="1233" t="s">
        <v>1574</v>
      </c>
      <c r="Y28" s="1235">
        <v>458</v>
      </c>
      <c r="Z28" s="1235">
        <f t="shared" si="0"/>
        <v>458</v>
      </c>
      <c r="AA28" s="39"/>
      <c r="AB28" s="39"/>
      <c r="AC28" s="39"/>
      <c r="AD28" s="39"/>
      <c r="AE28" s="39"/>
      <c r="AF28" s="39"/>
      <c r="AG28" s="39"/>
      <c r="AH28" s="39"/>
      <c r="AI28" s="39"/>
      <c r="AJ28" s="39"/>
      <c r="AK28" s="39"/>
      <c r="AL28" s="39"/>
      <c r="AM28" s="1229">
        <v>7</v>
      </c>
      <c r="AN28" s="1632">
        <v>7</v>
      </c>
    </row>
    <row r="29" spans="2:41" x14ac:dyDescent="0.3">
      <c r="B29" s="175" t="s">
        <v>390</v>
      </c>
      <c r="C29" s="1230">
        <v>108</v>
      </c>
      <c r="D29" s="1230">
        <v>114</v>
      </c>
      <c r="E29" s="1230">
        <v>131</v>
      </c>
      <c r="F29" s="1230">
        <v>149</v>
      </c>
      <c r="G29" s="1231">
        <f>VLOOKUP(B29,'6.4D'!$B$7:$G$48,6,0)</f>
        <v>162</v>
      </c>
      <c r="H29" s="1232">
        <v>40</v>
      </c>
      <c r="I29" s="1229">
        <v>48</v>
      </c>
      <c r="J29" s="1229">
        <v>48</v>
      </c>
      <c r="K29" s="1229">
        <v>18</v>
      </c>
      <c r="L29" s="115"/>
      <c r="M29" s="39"/>
      <c r="N29" s="39"/>
      <c r="O29" s="39"/>
      <c r="P29" s="39"/>
      <c r="Q29" s="39"/>
      <c r="R29" s="39"/>
      <c r="S29" s="39"/>
      <c r="T29" s="1233" t="s">
        <v>1575</v>
      </c>
      <c r="U29" s="1234">
        <v>3798</v>
      </c>
      <c r="V29" s="39">
        <v>3859</v>
      </c>
      <c r="W29" s="39"/>
      <c r="X29" s="1233" t="s">
        <v>1575</v>
      </c>
      <c r="Y29" s="1235">
        <v>202</v>
      </c>
      <c r="Z29" s="1235">
        <f t="shared" si="0"/>
        <v>202</v>
      </c>
      <c r="AA29" s="39"/>
      <c r="AB29" s="39"/>
      <c r="AC29" s="39"/>
      <c r="AD29" s="39"/>
      <c r="AE29" s="39"/>
      <c r="AF29" s="39"/>
      <c r="AG29" s="39"/>
      <c r="AH29" s="39"/>
      <c r="AI29" s="39"/>
      <c r="AJ29" s="39"/>
      <c r="AK29" s="39"/>
      <c r="AL29" s="39"/>
      <c r="AM29" s="1229">
        <v>48</v>
      </c>
      <c r="AN29" s="1632">
        <v>48</v>
      </c>
    </row>
    <row r="30" spans="2:41" x14ac:dyDescent="0.3">
      <c r="B30" s="1399" t="s">
        <v>1497</v>
      </c>
      <c r="C30" s="56">
        <v>2331</v>
      </c>
      <c r="D30" s="56">
        <v>2534</v>
      </c>
      <c r="E30" s="56">
        <v>2655</v>
      </c>
      <c r="F30" s="56">
        <v>2952</v>
      </c>
      <c r="G30" s="1237">
        <f>SUM(G22:G29)</f>
        <v>3255</v>
      </c>
      <c r="H30" s="1225">
        <v>553</v>
      </c>
      <c r="I30" s="56">
        <v>429</v>
      </c>
      <c r="J30" s="56">
        <v>429</v>
      </c>
      <c r="K30" s="56">
        <f>SUM(K22:K29)</f>
        <v>20</v>
      </c>
      <c r="L30" s="115" t="e">
        <f>(E30-#REF!)*100/#REF!</f>
        <v>#REF!</v>
      </c>
      <c r="M30" s="39">
        <v>1</v>
      </c>
      <c r="N30" s="39"/>
      <c r="O30" s="39" t="e">
        <f>100*(#REF!-E30)/#REF!</f>
        <v>#REF!</v>
      </c>
      <c r="P30" s="39"/>
      <c r="Q30" s="39"/>
      <c r="R30" s="39"/>
      <c r="S30" s="39"/>
      <c r="T30" s="1233" t="s">
        <v>1576</v>
      </c>
      <c r="U30" s="1234">
        <v>108</v>
      </c>
      <c r="V30" s="39">
        <v>110</v>
      </c>
      <c r="W30" s="39"/>
      <c r="X30" s="1233" t="s">
        <v>1576</v>
      </c>
      <c r="Y30" s="1235">
        <v>40</v>
      </c>
      <c r="Z30" s="1235">
        <f t="shared" si="0"/>
        <v>40</v>
      </c>
      <c r="AA30" s="39"/>
      <c r="AB30" s="39"/>
      <c r="AC30" s="39"/>
      <c r="AD30" s="39"/>
      <c r="AE30" s="39"/>
      <c r="AF30" s="39"/>
      <c r="AG30" s="39"/>
      <c r="AH30" s="39"/>
      <c r="AI30" s="39"/>
      <c r="AJ30" s="39"/>
      <c r="AK30" s="39"/>
      <c r="AL30" s="39"/>
      <c r="AM30" s="56">
        <v>429</v>
      </c>
      <c r="AN30" s="1237">
        <f>SUM(AN22:AN29)</f>
        <v>429</v>
      </c>
      <c r="AO30" s="882"/>
    </row>
    <row r="31" spans="2:41" x14ac:dyDescent="0.3">
      <c r="B31" s="175" t="s">
        <v>452</v>
      </c>
      <c r="C31" s="1230">
        <v>1969</v>
      </c>
      <c r="D31" s="1230">
        <v>2071</v>
      </c>
      <c r="E31" s="1230">
        <v>2137</v>
      </c>
      <c r="F31" s="1230">
        <v>2363</v>
      </c>
      <c r="G31" s="1231">
        <f>VLOOKUP(B31,'6.4D'!$B$7:$G$48,6,0)</f>
        <v>2587</v>
      </c>
      <c r="H31" s="1232">
        <v>108</v>
      </c>
      <c r="I31" s="1229">
        <v>105</v>
      </c>
      <c r="J31" s="1229">
        <v>105</v>
      </c>
      <c r="K31" s="1229">
        <v>0</v>
      </c>
      <c r="L31" s="115"/>
      <c r="M31" s="39"/>
      <c r="N31" s="39"/>
      <c r="O31" s="39"/>
      <c r="P31" s="39"/>
      <c r="Q31" s="39"/>
      <c r="R31" s="39"/>
      <c r="S31" s="39"/>
      <c r="T31" s="1233" t="s">
        <v>1577</v>
      </c>
      <c r="U31" s="1234">
        <v>10162</v>
      </c>
      <c r="V31" s="39">
        <v>10360</v>
      </c>
      <c r="W31" s="39"/>
      <c r="X31" s="1233" t="s">
        <v>1577</v>
      </c>
      <c r="Y31" s="1235">
        <v>674</v>
      </c>
      <c r="Z31" s="1235">
        <f t="shared" si="0"/>
        <v>674</v>
      </c>
      <c r="AA31" s="39"/>
      <c r="AB31" s="39"/>
      <c r="AC31" s="39"/>
      <c r="AD31" s="39"/>
      <c r="AE31" s="39"/>
      <c r="AF31" s="39"/>
      <c r="AG31" s="39"/>
      <c r="AH31" s="39"/>
      <c r="AI31" s="39"/>
      <c r="AJ31" s="39"/>
      <c r="AK31" s="39"/>
      <c r="AL31" s="39"/>
      <c r="AM31" s="1229">
        <v>105</v>
      </c>
      <c r="AN31" s="1632">
        <v>105</v>
      </c>
    </row>
    <row r="32" spans="2:41" s="3" customFormat="1" ht="33" x14ac:dyDescent="0.3">
      <c r="B32" s="157" t="s">
        <v>1498</v>
      </c>
      <c r="C32" s="1230">
        <v>64</v>
      </c>
      <c r="D32" s="1230">
        <v>66</v>
      </c>
      <c r="E32" s="1230">
        <v>66</v>
      </c>
      <c r="F32" s="1230">
        <v>72</v>
      </c>
      <c r="G32" s="1231">
        <f>VLOOKUP(B32,'6.4D'!$B$7:$G$48,6,0)</f>
        <v>78</v>
      </c>
      <c r="H32" s="1238">
        <v>7</v>
      </c>
      <c r="I32" s="1230">
        <v>7</v>
      </c>
      <c r="J32" s="1230">
        <v>7</v>
      </c>
      <c r="K32" s="1230">
        <v>9</v>
      </c>
      <c r="L32" s="1219"/>
      <c r="M32" s="19"/>
      <c r="N32" s="19"/>
      <c r="O32" s="19"/>
      <c r="P32" s="19"/>
      <c r="Q32" s="19"/>
      <c r="R32" s="19"/>
      <c r="S32" s="19"/>
      <c r="T32" s="1233" t="s">
        <v>1578</v>
      </c>
      <c r="U32" s="1234">
        <v>763</v>
      </c>
      <c r="V32" s="19">
        <v>771</v>
      </c>
      <c r="W32" s="19"/>
      <c r="X32" s="1233" t="s">
        <v>1578</v>
      </c>
      <c r="Y32" s="1075">
        <v>69</v>
      </c>
      <c r="Z32" s="1075">
        <f t="shared" si="0"/>
        <v>69</v>
      </c>
      <c r="AA32" s="19"/>
      <c r="AB32" s="19"/>
      <c r="AC32" s="19"/>
      <c r="AD32" s="19"/>
      <c r="AE32" s="19"/>
      <c r="AF32" s="19"/>
      <c r="AG32" s="19"/>
      <c r="AH32" s="19"/>
      <c r="AI32" s="19"/>
      <c r="AJ32" s="19"/>
      <c r="AK32" s="19"/>
      <c r="AL32" s="19"/>
      <c r="AM32" s="1230">
        <v>7</v>
      </c>
      <c r="AN32" s="1632">
        <v>7</v>
      </c>
    </row>
    <row r="33" spans="2:41" x14ac:dyDescent="0.3">
      <c r="B33" s="175" t="s">
        <v>466</v>
      </c>
      <c r="C33" s="1230">
        <v>127</v>
      </c>
      <c r="D33" s="1230">
        <v>135</v>
      </c>
      <c r="E33" s="1230">
        <v>138</v>
      </c>
      <c r="F33" s="1230">
        <v>146</v>
      </c>
      <c r="G33" s="1231">
        <f>VLOOKUP(B33,'6.4D'!$B$7:$G$48,6,0)</f>
        <v>155</v>
      </c>
      <c r="H33" s="1232">
        <v>22</v>
      </c>
      <c r="I33" s="1229">
        <v>19</v>
      </c>
      <c r="J33" s="1229">
        <v>19</v>
      </c>
      <c r="K33" s="1229">
        <v>15</v>
      </c>
      <c r="L33" s="115"/>
      <c r="M33" s="39"/>
      <c r="N33" s="39"/>
      <c r="O33" s="39"/>
      <c r="P33" s="39"/>
      <c r="Q33" s="39"/>
      <c r="R33" s="39"/>
      <c r="S33" s="39"/>
      <c r="T33" s="1233" t="s">
        <v>1579</v>
      </c>
      <c r="U33" s="1234">
        <v>2894</v>
      </c>
      <c r="V33" s="39">
        <v>2938</v>
      </c>
      <c r="W33" s="39"/>
      <c r="X33" s="1233" t="s">
        <v>1579</v>
      </c>
      <c r="Y33" s="1235">
        <v>455</v>
      </c>
      <c r="Z33" s="1235">
        <f t="shared" si="0"/>
        <v>455</v>
      </c>
      <c r="AA33" s="39"/>
      <c r="AB33" s="39"/>
      <c r="AC33" s="39"/>
      <c r="AD33" s="39"/>
      <c r="AE33" s="39"/>
      <c r="AF33" s="39"/>
      <c r="AG33" s="39"/>
      <c r="AH33" s="39"/>
      <c r="AI33" s="39"/>
      <c r="AJ33" s="39"/>
      <c r="AK33" s="39"/>
      <c r="AL33" s="39"/>
      <c r="AM33" s="1229">
        <v>19</v>
      </c>
      <c r="AN33" s="1632">
        <v>19</v>
      </c>
    </row>
    <row r="34" spans="2:41" x14ac:dyDescent="0.3">
      <c r="B34" s="175" t="s">
        <v>822</v>
      </c>
      <c r="C34" s="1230">
        <v>5502</v>
      </c>
      <c r="D34" s="1230">
        <v>5661</v>
      </c>
      <c r="E34" s="1230">
        <v>5825</v>
      </c>
      <c r="F34" s="1230">
        <v>6295</v>
      </c>
      <c r="G34" s="1231">
        <f>VLOOKUP(B34,'6.4D'!$B$7:$G$48,6,0)</f>
        <v>6681</v>
      </c>
      <c r="H34" s="1232">
        <v>470</v>
      </c>
      <c r="I34" s="1229">
        <v>466</v>
      </c>
      <c r="J34" s="1229">
        <v>466</v>
      </c>
      <c r="K34" s="1229">
        <v>685</v>
      </c>
      <c r="L34" s="115"/>
      <c r="M34" s="39"/>
      <c r="N34" s="39"/>
      <c r="O34" s="39"/>
      <c r="P34" s="39"/>
      <c r="Q34" s="39"/>
      <c r="R34" s="39"/>
      <c r="S34" s="39"/>
      <c r="T34" s="1236" t="s">
        <v>1490</v>
      </c>
      <c r="U34" s="39">
        <v>19</v>
      </c>
      <c r="V34" s="39">
        <v>19</v>
      </c>
      <c r="W34" s="39"/>
      <c r="X34" s="1130" t="s">
        <v>1580</v>
      </c>
      <c r="Y34" s="1124"/>
      <c r="Z34" s="1124"/>
      <c r="AA34" s="39"/>
      <c r="AB34" s="39"/>
      <c r="AC34" s="39"/>
      <c r="AD34" s="39"/>
      <c r="AE34" s="39"/>
      <c r="AF34" s="39"/>
      <c r="AG34" s="39"/>
      <c r="AH34" s="39"/>
      <c r="AI34" s="39"/>
      <c r="AJ34" s="39"/>
      <c r="AK34" s="39"/>
      <c r="AL34" s="39"/>
      <c r="AM34" s="1229">
        <v>466</v>
      </c>
      <c r="AN34" s="1632">
        <v>466</v>
      </c>
    </row>
    <row r="35" spans="2:41" x14ac:dyDescent="0.3">
      <c r="B35" s="175" t="s">
        <v>578</v>
      </c>
      <c r="C35" s="1230">
        <v>5566</v>
      </c>
      <c r="D35" s="1230">
        <v>5909</v>
      </c>
      <c r="E35" s="1230">
        <v>6112</v>
      </c>
      <c r="F35" s="1230">
        <v>6587</v>
      </c>
      <c r="G35" s="1231">
        <f>VLOOKUP(B35,'6.4D'!$B$7:$G$48,6,0)</f>
        <v>7044</v>
      </c>
      <c r="H35" s="1232">
        <v>284</v>
      </c>
      <c r="I35" s="1229">
        <v>279</v>
      </c>
      <c r="J35" s="1229">
        <v>279</v>
      </c>
      <c r="K35" s="1229">
        <v>191</v>
      </c>
      <c r="L35" s="115"/>
      <c r="M35" s="39"/>
      <c r="N35" s="39"/>
      <c r="O35" s="39"/>
      <c r="P35" s="39"/>
      <c r="Q35" s="39"/>
      <c r="R35" s="39"/>
      <c r="S35" s="39"/>
      <c r="T35" s="1233" t="s">
        <v>1581</v>
      </c>
      <c r="U35" s="39">
        <v>47</v>
      </c>
      <c r="V35" s="39">
        <v>48</v>
      </c>
      <c r="W35" s="39"/>
      <c r="X35" s="1236" t="s">
        <v>1490</v>
      </c>
      <c r="Y35" s="1235">
        <v>2</v>
      </c>
      <c r="Z35" s="1235">
        <f t="shared" ref="Z35:Z41" si="1">SUM(W35:Y35)</f>
        <v>2</v>
      </c>
      <c r="AA35" s="39"/>
      <c r="AB35" s="39"/>
      <c r="AC35" s="39"/>
      <c r="AD35" s="39"/>
      <c r="AE35" s="39"/>
      <c r="AF35" s="39"/>
      <c r="AG35" s="39"/>
      <c r="AH35" s="39"/>
      <c r="AI35" s="39"/>
      <c r="AJ35" s="39"/>
      <c r="AK35" s="39"/>
      <c r="AL35" s="39"/>
      <c r="AM35" s="1229">
        <v>279</v>
      </c>
      <c r="AN35" s="1632">
        <v>279</v>
      </c>
    </row>
    <row r="36" spans="2:41" ht="18" customHeight="1" x14ac:dyDescent="0.3">
      <c r="B36" s="175" t="s">
        <v>606</v>
      </c>
      <c r="C36" s="1230">
        <v>7667</v>
      </c>
      <c r="D36" s="1230">
        <v>8045</v>
      </c>
      <c r="E36" s="1230">
        <v>8358</v>
      </c>
      <c r="F36" s="1230">
        <v>8798</v>
      </c>
      <c r="G36" s="1231">
        <f>VLOOKUP(B36,'6.4D'!$B$7:$G$48,6,0)</f>
        <v>9354</v>
      </c>
      <c r="H36" s="1232">
        <v>752</v>
      </c>
      <c r="I36" s="1229">
        <v>786</v>
      </c>
      <c r="J36" s="1229">
        <v>786</v>
      </c>
      <c r="K36" s="1229">
        <v>528</v>
      </c>
      <c r="L36" s="115"/>
      <c r="M36" s="39"/>
      <c r="N36" s="39"/>
      <c r="O36" s="39"/>
      <c r="P36" s="39"/>
      <c r="Q36" s="39"/>
      <c r="R36" s="39"/>
      <c r="S36" s="39"/>
      <c r="T36" s="59" t="s">
        <v>1498</v>
      </c>
      <c r="U36" s="39">
        <v>64</v>
      </c>
      <c r="V36" s="39">
        <v>65</v>
      </c>
      <c r="W36" s="39"/>
      <c r="X36" s="1233" t="s">
        <v>1581</v>
      </c>
      <c r="Y36" s="1235">
        <v>12</v>
      </c>
      <c r="Z36" s="1235">
        <f t="shared" si="1"/>
        <v>12</v>
      </c>
      <c r="AA36" s="39"/>
      <c r="AB36" s="39"/>
      <c r="AC36" s="39"/>
      <c r="AD36" s="39"/>
      <c r="AE36" s="39"/>
      <c r="AF36" s="39"/>
      <c r="AG36" s="39"/>
      <c r="AH36" s="39"/>
      <c r="AI36" s="39"/>
      <c r="AJ36" s="39"/>
      <c r="AK36" s="39"/>
      <c r="AL36" s="39"/>
      <c r="AM36" s="1229">
        <v>786</v>
      </c>
      <c r="AN36" s="1632">
        <v>786</v>
      </c>
    </row>
    <row r="37" spans="2:41" ht="16.5" customHeight="1" x14ac:dyDescent="0.3">
      <c r="B37" s="1399" t="s">
        <v>1499</v>
      </c>
      <c r="C37" s="56">
        <v>20895</v>
      </c>
      <c r="D37" s="56">
        <v>21887</v>
      </c>
      <c r="E37" s="56">
        <v>22636</v>
      </c>
      <c r="F37" s="56">
        <v>24261</v>
      </c>
      <c r="G37" s="1237">
        <f>SUM(G31:G36)</f>
        <v>25899</v>
      </c>
      <c r="H37" s="1225">
        <v>1643</v>
      </c>
      <c r="I37" s="56">
        <v>1662</v>
      </c>
      <c r="J37" s="56">
        <v>1662</v>
      </c>
      <c r="K37" s="56">
        <f>SUM(K31:K36)</f>
        <v>1428</v>
      </c>
      <c r="L37" s="115" t="e">
        <f>(E37-#REF!)*100/#REF!</f>
        <v>#REF!</v>
      </c>
      <c r="M37" s="39">
        <v>2</v>
      </c>
      <c r="N37" s="39"/>
      <c r="O37" s="39" t="e">
        <f>100*(#REF!-E37)/#REF!</f>
        <v>#REF!</v>
      </c>
      <c r="P37" s="39"/>
      <c r="Q37" s="39"/>
      <c r="R37" s="39"/>
      <c r="S37" s="39"/>
      <c r="T37" s="1233" t="s">
        <v>1582</v>
      </c>
      <c r="U37" s="39"/>
      <c r="V37" s="39"/>
      <c r="W37" s="39"/>
      <c r="X37" s="59" t="s">
        <v>1498</v>
      </c>
      <c r="Y37" s="1235">
        <v>7</v>
      </c>
      <c r="Z37" s="1235">
        <f t="shared" si="1"/>
        <v>7</v>
      </c>
      <c r="AA37" s="39"/>
      <c r="AB37" s="39"/>
      <c r="AC37" s="39"/>
      <c r="AD37" s="39"/>
      <c r="AE37" s="39"/>
      <c r="AF37" s="39"/>
      <c r="AG37" s="39"/>
      <c r="AH37" s="39"/>
      <c r="AI37" s="39"/>
      <c r="AJ37" s="39"/>
      <c r="AK37" s="39"/>
      <c r="AL37" s="39"/>
      <c r="AM37" s="56">
        <v>1662</v>
      </c>
      <c r="AN37" s="1237">
        <f>SUM(AN31:AN36)</f>
        <v>1662</v>
      </c>
      <c r="AO37" s="882"/>
    </row>
    <row r="38" spans="2:41" x14ac:dyDescent="0.3">
      <c r="B38" s="175" t="s">
        <v>221</v>
      </c>
      <c r="C38" s="1230">
        <v>4230</v>
      </c>
      <c r="D38" s="1230">
        <v>4345</v>
      </c>
      <c r="E38" s="1230">
        <v>4461</v>
      </c>
      <c r="F38" s="1230">
        <v>4773</v>
      </c>
      <c r="G38" s="1231">
        <f>VLOOKUP(B38,'6.4D'!$B$7:$G$48,6,0)</f>
        <v>5021</v>
      </c>
      <c r="H38" s="1232">
        <v>384</v>
      </c>
      <c r="I38" s="1229">
        <v>328</v>
      </c>
      <c r="J38" s="1229">
        <v>328</v>
      </c>
      <c r="K38" s="1229">
        <v>120</v>
      </c>
      <c r="L38" s="115"/>
      <c r="M38" s="39"/>
      <c r="N38" s="39"/>
      <c r="O38" s="39"/>
      <c r="P38" s="39"/>
      <c r="Q38" s="39"/>
      <c r="R38" s="39"/>
      <c r="S38" s="39"/>
      <c r="T38" s="1236" t="s">
        <v>1486</v>
      </c>
      <c r="U38" s="39">
        <v>581</v>
      </c>
      <c r="V38" s="39">
        <v>610</v>
      </c>
      <c r="W38" s="39"/>
      <c r="X38" s="1236" t="s">
        <v>1486</v>
      </c>
      <c r="Y38" s="1235">
        <v>45</v>
      </c>
      <c r="Z38" s="1235">
        <f t="shared" si="1"/>
        <v>45</v>
      </c>
      <c r="AA38" s="39"/>
      <c r="AB38" s="39"/>
      <c r="AC38" s="39"/>
      <c r="AD38" s="39"/>
      <c r="AE38" s="39"/>
      <c r="AF38" s="39"/>
      <c r="AG38" s="39"/>
      <c r="AH38" s="39"/>
      <c r="AI38" s="39"/>
      <c r="AJ38" s="39"/>
      <c r="AK38" s="39"/>
      <c r="AL38" s="39"/>
      <c r="AM38" s="1229">
        <v>328</v>
      </c>
      <c r="AN38" s="1632">
        <v>328</v>
      </c>
    </row>
    <row r="39" spans="2:41" x14ac:dyDescent="0.3">
      <c r="B39" s="175" t="s">
        <v>550</v>
      </c>
      <c r="C39" s="1230">
        <v>5929</v>
      </c>
      <c r="D39" s="1230">
        <v>6199</v>
      </c>
      <c r="E39" s="1230">
        <v>6496</v>
      </c>
      <c r="F39" s="1230">
        <v>7106</v>
      </c>
      <c r="G39" s="1231">
        <f>VLOOKUP(B39,'6.4D'!$B$7:$G$48,6,0)</f>
        <v>7583</v>
      </c>
      <c r="H39" s="1232">
        <v>309</v>
      </c>
      <c r="I39" s="1229">
        <v>376</v>
      </c>
      <c r="J39" s="1229">
        <v>376</v>
      </c>
      <c r="K39" s="1229">
        <v>176</v>
      </c>
      <c r="L39" s="115"/>
      <c r="M39" s="39"/>
      <c r="N39" s="39"/>
      <c r="O39" s="39"/>
      <c r="P39" s="39">
        <v>83027</v>
      </c>
      <c r="Q39" s="39"/>
      <c r="R39" s="39"/>
      <c r="S39" s="39"/>
      <c r="T39" s="1233" t="s">
        <v>1583</v>
      </c>
      <c r="U39" s="39">
        <v>27</v>
      </c>
      <c r="V39" s="39">
        <v>31</v>
      </c>
      <c r="W39" s="39"/>
      <c r="X39" s="1233" t="s">
        <v>1583</v>
      </c>
      <c r="Y39" s="1235">
        <v>2</v>
      </c>
      <c r="Z39" s="1235">
        <f t="shared" si="1"/>
        <v>2</v>
      </c>
      <c r="AA39" s="39"/>
      <c r="AB39" s="39"/>
      <c r="AC39" s="39"/>
      <c r="AD39" s="39"/>
      <c r="AE39" s="39"/>
      <c r="AF39" s="39"/>
      <c r="AG39" s="39"/>
      <c r="AH39" s="39"/>
      <c r="AI39" s="39"/>
      <c r="AJ39" s="39"/>
      <c r="AK39" s="39"/>
      <c r="AL39" s="39"/>
      <c r="AM39" s="1229">
        <v>376</v>
      </c>
      <c r="AN39" s="1632">
        <v>376</v>
      </c>
    </row>
    <row r="40" spans="2:41" x14ac:dyDescent="0.3">
      <c r="B40" s="175" t="s">
        <v>568</v>
      </c>
      <c r="C40" s="1230">
        <v>2559</v>
      </c>
      <c r="D40" s="1230">
        <v>2694</v>
      </c>
      <c r="E40" s="1230">
        <v>2820</v>
      </c>
      <c r="F40" s="1230">
        <v>2979</v>
      </c>
      <c r="G40" s="1231">
        <f>VLOOKUP(B40,'6.4D'!$B$7:$G$48,6,0)</f>
        <v>3263</v>
      </c>
      <c r="H40" s="1232">
        <v>234</v>
      </c>
      <c r="I40" s="1229">
        <v>200</v>
      </c>
      <c r="J40" s="1229">
        <v>196</v>
      </c>
      <c r="K40" s="1229">
        <v>87</v>
      </c>
      <c r="L40" s="115"/>
      <c r="M40" s="39"/>
      <c r="N40" s="39"/>
      <c r="O40" s="39"/>
      <c r="P40" s="39">
        <v>62585</v>
      </c>
      <c r="Q40" s="39">
        <f>+P39-P40</f>
        <v>20442</v>
      </c>
      <c r="R40" s="39"/>
      <c r="S40" s="39"/>
      <c r="T40" s="1233" t="s">
        <v>1584</v>
      </c>
      <c r="U40" s="39">
        <v>1</v>
      </c>
      <c r="V40" s="39">
        <v>2</v>
      </c>
      <c r="W40" s="39"/>
      <c r="X40" s="1233" t="s">
        <v>1584</v>
      </c>
      <c r="Y40" s="1235">
        <v>0</v>
      </c>
      <c r="Z40" s="1235">
        <f t="shared" si="1"/>
        <v>0</v>
      </c>
      <c r="AA40" s="39"/>
      <c r="AB40" s="39"/>
      <c r="AC40" s="39"/>
      <c r="AD40" s="39"/>
      <c r="AE40" s="39"/>
      <c r="AF40" s="39"/>
      <c r="AG40" s="39"/>
      <c r="AH40" s="39"/>
      <c r="AI40" s="39"/>
      <c r="AJ40" s="39"/>
      <c r="AK40" s="39"/>
      <c r="AL40" s="39"/>
      <c r="AM40" s="1229">
        <v>196</v>
      </c>
      <c r="AN40" s="1632">
        <v>196</v>
      </c>
    </row>
    <row r="41" spans="2:41" x14ac:dyDescent="0.3">
      <c r="B41" s="175" t="s">
        <v>1500</v>
      </c>
      <c r="C41" s="1230">
        <v>1</v>
      </c>
      <c r="D41" s="1230">
        <v>4</v>
      </c>
      <c r="E41" s="1230">
        <v>4</v>
      </c>
      <c r="F41" s="1230">
        <v>4</v>
      </c>
      <c r="G41" s="1231">
        <f>VLOOKUP(B41,'6.4D'!$B$7:$G$48,6,0)</f>
        <v>4</v>
      </c>
      <c r="H41" s="1232">
        <v>0</v>
      </c>
      <c r="I41" s="1229">
        <v>1</v>
      </c>
      <c r="J41" s="1229">
        <v>1</v>
      </c>
      <c r="K41" s="1229">
        <v>0</v>
      </c>
      <c r="L41" s="115"/>
      <c r="M41" s="39"/>
      <c r="N41" s="39"/>
      <c r="O41" s="39"/>
      <c r="P41" s="39"/>
      <c r="Q41" s="39">
        <f>100*(Q40/P40)</f>
        <v>32.66277862107534</v>
      </c>
      <c r="R41" s="39"/>
      <c r="S41" s="39"/>
      <c r="T41" s="1233" t="s">
        <v>1585</v>
      </c>
      <c r="U41" s="39">
        <v>179</v>
      </c>
      <c r="V41" s="39">
        <v>180</v>
      </c>
      <c r="W41" s="39"/>
      <c r="X41" s="1233" t="s">
        <v>1585</v>
      </c>
      <c r="Y41" s="1235">
        <v>8</v>
      </c>
      <c r="Z41" s="1235">
        <f t="shared" si="1"/>
        <v>8</v>
      </c>
      <c r="AA41" s="39"/>
      <c r="AB41" s="39"/>
      <c r="AC41" s="39"/>
      <c r="AD41" s="39"/>
      <c r="AE41" s="39"/>
      <c r="AF41" s="39"/>
      <c r="AG41" s="39"/>
      <c r="AH41" s="39"/>
      <c r="AI41" s="39"/>
      <c r="AJ41" s="39"/>
      <c r="AK41" s="39"/>
      <c r="AL41" s="39"/>
      <c r="AM41" s="1229">
        <v>1</v>
      </c>
      <c r="AN41" s="1632">
        <v>1</v>
      </c>
    </row>
    <row r="42" spans="2:41" x14ac:dyDescent="0.3">
      <c r="B42" s="175" t="s">
        <v>851</v>
      </c>
      <c r="C42" s="1230">
        <v>179</v>
      </c>
      <c r="D42" s="1230">
        <v>186</v>
      </c>
      <c r="E42" s="1230">
        <v>197</v>
      </c>
      <c r="F42" s="1230">
        <v>210</v>
      </c>
      <c r="G42" s="1231">
        <f>VLOOKUP(B42,'6.4D'!$B$7:$G$48,6,0)</f>
        <v>217</v>
      </c>
      <c r="H42" s="1232">
        <v>8</v>
      </c>
      <c r="I42" s="1229">
        <v>6</v>
      </c>
      <c r="J42" s="1229">
        <v>6</v>
      </c>
      <c r="K42" s="1229">
        <v>0</v>
      </c>
      <c r="L42" s="115"/>
      <c r="M42" s="39"/>
      <c r="N42" s="39"/>
      <c r="O42" s="39"/>
      <c r="P42" s="39"/>
      <c r="Q42" s="39"/>
      <c r="R42" s="39"/>
      <c r="S42" s="39"/>
      <c r="T42" s="39"/>
      <c r="U42" s="39">
        <f>+SUM(U5:U41)</f>
        <v>83027</v>
      </c>
      <c r="V42" s="39">
        <f>+SUM(V5:V41)</f>
        <v>84614</v>
      </c>
      <c r="W42" s="39"/>
      <c r="X42" s="39"/>
      <c r="Y42" s="39">
        <f>+SUM(Y5:Y41)</f>
        <v>6436</v>
      </c>
      <c r="Z42" s="39">
        <f>+SUM(Z5:Z41)</f>
        <v>6436</v>
      </c>
      <c r="AA42" s="39"/>
      <c r="AB42" s="39"/>
      <c r="AC42" s="39"/>
      <c r="AD42" s="39"/>
      <c r="AE42" s="39"/>
      <c r="AF42" s="39"/>
      <c r="AG42" s="39"/>
      <c r="AH42" s="39"/>
      <c r="AI42" s="39"/>
      <c r="AJ42" s="39"/>
      <c r="AK42" s="39"/>
      <c r="AL42" s="39"/>
      <c r="AM42" s="1229">
        <v>6</v>
      </c>
      <c r="AN42" s="1632">
        <v>6</v>
      </c>
    </row>
    <row r="43" spans="2:41" x14ac:dyDescent="0.3">
      <c r="B43" s="175" t="s">
        <v>224</v>
      </c>
      <c r="C43" s="1230">
        <v>6745</v>
      </c>
      <c r="D43" s="1230">
        <v>7018</v>
      </c>
      <c r="E43" s="1230">
        <v>7251</v>
      </c>
      <c r="F43" s="1230">
        <v>7692</v>
      </c>
      <c r="G43" s="1231">
        <f>VLOOKUP(B43,'6.4D'!$B$7:$G$48,6,0)</f>
        <v>8095</v>
      </c>
      <c r="H43" s="1232">
        <v>458</v>
      </c>
      <c r="I43" s="1229">
        <v>392</v>
      </c>
      <c r="J43" s="1229">
        <v>392</v>
      </c>
      <c r="K43" s="1229">
        <v>111</v>
      </c>
      <c r="L43" s="115"/>
      <c r="M43" s="39"/>
      <c r="N43" s="39"/>
      <c r="O43" s="39"/>
      <c r="P43" s="39"/>
      <c r="Q43" s="39"/>
      <c r="R43" s="39"/>
      <c r="S43" s="39"/>
      <c r="T43" s="39"/>
      <c r="U43" s="39"/>
      <c r="V43" s="39"/>
      <c r="W43" s="39"/>
      <c r="X43" s="39"/>
      <c r="Y43" s="39"/>
      <c r="Z43" s="39"/>
      <c r="AA43" s="39"/>
      <c r="AB43" s="39"/>
      <c r="AC43" s="39"/>
      <c r="AD43" s="39"/>
      <c r="AE43" s="39"/>
      <c r="AF43" s="39"/>
      <c r="AG43" s="39"/>
      <c r="AH43" s="39"/>
      <c r="AI43" s="39"/>
      <c r="AJ43" s="39"/>
      <c r="AK43" s="39"/>
      <c r="AL43" s="39"/>
      <c r="AM43" s="1229">
        <v>392</v>
      </c>
      <c r="AN43" s="1632">
        <v>392</v>
      </c>
    </row>
    <row r="44" spans="2:41" x14ac:dyDescent="0.3">
      <c r="B44" s="175" t="s">
        <v>691</v>
      </c>
      <c r="C44" s="1230">
        <v>3798</v>
      </c>
      <c r="D44" s="1230">
        <v>3969</v>
      </c>
      <c r="E44" s="1230">
        <v>4119</v>
      </c>
      <c r="F44" s="1230">
        <v>4383</v>
      </c>
      <c r="G44" s="1231">
        <f>VLOOKUP(B44,'6.4D'!$B$7:$G$48,6,0)</f>
        <v>4606</v>
      </c>
      <c r="H44" s="1232">
        <v>202</v>
      </c>
      <c r="I44" s="1229">
        <v>205</v>
      </c>
      <c r="J44" s="1229">
        <v>205</v>
      </c>
      <c r="K44" s="1229">
        <v>111</v>
      </c>
      <c r="L44" s="115"/>
      <c r="M44" s="39"/>
      <c r="N44" s="39"/>
      <c r="O44" s="39"/>
      <c r="P44" s="39"/>
      <c r="Q44" s="39"/>
      <c r="R44" s="39"/>
      <c r="S44" s="39"/>
      <c r="T44" s="39"/>
      <c r="U44" s="39"/>
      <c r="V44" s="39"/>
      <c r="W44" s="39"/>
      <c r="X44" s="39"/>
      <c r="Y44" s="39"/>
      <c r="Z44" s="39"/>
      <c r="AA44" s="39"/>
      <c r="AB44" s="39"/>
      <c r="AC44" s="39"/>
      <c r="AD44" s="39"/>
      <c r="AE44" s="39"/>
      <c r="AF44" s="39"/>
      <c r="AG44" s="39"/>
      <c r="AH44" s="39"/>
      <c r="AI44" s="39"/>
      <c r="AJ44" s="39"/>
      <c r="AK44" s="39"/>
      <c r="AL44" s="39"/>
      <c r="AM44" s="1229">
        <v>205</v>
      </c>
      <c r="AN44" s="1632">
        <v>205</v>
      </c>
    </row>
    <row r="45" spans="2:41" x14ac:dyDescent="0.3">
      <c r="B45" s="1399" t="s">
        <v>1501</v>
      </c>
      <c r="C45" s="56">
        <v>23441</v>
      </c>
      <c r="D45" s="56">
        <v>24415</v>
      </c>
      <c r="E45" s="56">
        <v>25348</v>
      </c>
      <c r="F45" s="56">
        <v>27147</v>
      </c>
      <c r="G45" s="1237">
        <f>SUM(G38:G44)</f>
        <v>28789</v>
      </c>
      <c r="H45" s="1225">
        <v>1595</v>
      </c>
      <c r="I45" s="56">
        <v>1508</v>
      </c>
      <c r="J45" s="56">
        <v>1504</v>
      </c>
      <c r="K45" s="56">
        <f>SUM(K38:K44)</f>
        <v>605</v>
      </c>
      <c r="L45" s="115" t="e">
        <f>(E45-#REF!)*100/#REF!</f>
        <v>#REF!</v>
      </c>
      <c r="M45" s="39">
        <v>3</v>
      </c>
      <c r="N45" s="39"/>
      <c r="O45" s="39" t="e">
        <f>100*(#REF!-E45)/#REF!</f>
        <v>#REF!</v>
      </c>
      <c r="P45" s="39"/>
      <c r="Q45" s="39"/>
      <c r="R45" s="39"/>
      <c r="S45" s="39"/>
      <c r="T45" s="39"/>
      <c r="U45" s="39"/>
      <c r="V45" s="39"/>
      <c r="W45" s="39"/>
      <c r="X45" s="39"/>
      <c r="Y45" s="39"/>
      <c r="Z45" s="39"/>
      <c r="AA45" s="39"/>
      <c r="AB45" s="39"/>
      <c r="AC45" s="39"/>
      <c r="AD45" s="39"/>
      <c r="AE45" s="39"/>
      <c r="AF45" s="39"/>
      <c r="AG45" s="39"/>
      <c r="AH45" s="39"/>
      <c r="AI45" s="39"/>
      <c r="AJ45" s="39"/>
      <c r="AK45" s="39"/>
      <c r="AL45" s="39"/>
      <c r="AM45" s="56">
        <v>1504</v>
      </c>
      <c r="AN45" s="1237">
        <f>SUM(AN38:AN44)</f>
        <v>1504</v>
      </c>
      <c r="AO45" s="882"/>
    </row>
    <row r="46" spans="2:41" ht="17.25" thickBot="1" x14ac:dyDescent="0.35">
      <c r="B46" s="1241" t="s">
        <v>1029</v>
      </c>
      <c r="C46" s="1239">
        <v>83027</v>
      </c>
      <c r="D46" s="1239">
        <v>86855</v>
      </c>
      <c r="E46" s="1239">
        <v>90084</v>
      </c>
      <c r="F46" s="1239">
        <v>96724</v>
      </c>
      <c r="G46" s="1240">
        <f>+G45+G37+G30+G21+G15</f>
        <v>103023</v>
      </c>
      <c r="H46" s="1241">
        <v>6436</v>
      </c>
      <c r="I46" s="1239">
        <v>6414</v>
      </c>
      <c r="J46" s="1239">
        <v>6395</v>
      </c>
      <c r="K46" s="1239">
        <f>+K45+K37+K30+K21+K15</f>
        <v>3707</v>
      </c>
      <c r="L46" s="1242" t="e">
        <f>(E46-#REF!)*100/#REF!</f>
        <v>#REF!</v>
      </c>
      <c r="M46" s="1243"/>
      <c r="N46" s="1243"/>
      <c r="O46" s="1243" t="e">
        <f>100*(#REF!-E46)/#REF!</f>
        <v>#REF!</v>
      </c>
      <c r="P46" s="1243"/>
      <c r="Q46" s="1243"/>
      <c r="R46" s="1243"/>
      <c r="S46" s="1243"/>
      <c r="T46" s="1243"/>
      <c r="U46" s="1243"/>
      <c r="V46" s="1243"/>
      <c r="W46" s="1243"/>
      <c r="X46" s="1243"/>
      <c r="Y46" s="1243"/>
      <c r="Z46" s="1243"/>
      <c r="AA46" s="1243"/>
      <c r="AB46" s="1243"/>
      <c r="AC46" s="1243"/>
      <c r="AD46" s="1243"/>
      <c r="AE46" s="1243"/>
      <c r="AF46" s="1243"/>
      <c r="AG46" s="1243"/>
      <c r="AH46" s="1243"/>
      <c r="AI46" s="1243"/>
      <c r="AJ46" s="1243"/>
      <c r="AK46" s="1243"/>
      <c r="AL46" s="1243"/>
      <c r="AM46" s="1239">
        <v>6395</v>
      </c>
      <c r="AN46" s="1240">
        <f>+AN45+AN37+AN30+AN21+AN15</f>
        <v>6395</v>
      </c>
      <c r="AO46" s="882"/>
    </row>
    <row r="47" spans="2:41" x14ac:dyDescent="0.3">
      <c r="B47" s="3539" t="s">
        <v>2487</v>
      </c>
      <c r="C47" s="3540"/>
      <c r="D47" s="3540"/>
      <c r="E47" s="3540"/>
      <c r="F47" s="3540"/>
      <c r="G47" s="3540"/>
      <c r="H47" s="1294"/>
      <c r="I47" s="1294"/>
      <c r="J47" s="1294"/>
      <c r="K47" s="1295"/>
      <c r="L47" s="1296"/>
      <c r="M47" s="1295"/>
      <c r="N47" s="1295"/>
      <c r="O47" s="1295"/>
      <c r="P47" s="1295"/>
      <c r="Q47" s="1295"/>
      <c r="R47" s="1295"/>
      <c r="S47" s="1295"/>
      <c r="T47" s="1295"/>
      <c r="U47" s="1295"/>
      <c r="V47" s="1295"/>
      <c r="W47" s="1295"/>
      <c r="X47" s="1295"/>
      <c r="Y47" s="1295"/>
      <c r="Z47" s="1295"/>
      <c r="AA47" s="1295"/>
      <c r="AB47" s="1295"/>
      <c r="AC47" s="1295"/>
      <c r="AD47" s="1295"/>
      <c r="AE47" s="1295"/>
      <c r="AF47" s="1295"/>
      <c r="AG47" s="1295"/>
      <c r="AH47" s="1295"/>
      <c r="AI47" s="1295"/>
      <c r="AJ47" s="1295"/>
      <c r="AK47" s="1295"/>
      <c r="AL47" s="1295"/>
      <c r="AM47" s="1295"/>
      <c r="AN47" s="1297"/>
    </row>
    <row r="48" spans="2:41" ht="39.75" customHeight="1" x14ac:dyDescent="0.3">
      <c r="B48" s="3523" t="s">
        <v>2612</v>
      </c>
      <c r="C48" s="3524"/>
      <c r="D48" s="3524"/>
      <c r="E48" s="3524"/>
      <c r="F48" s="3524"/>
      <c r="G48" s="3524"/>
      <c r="H48" s="3524"/>
      <c r="I48" s="3524"/>
      <c r="J48" s="3524"/>
      <c r="K48" s="3524"/>
      <c r="L48" s="3524"/>
      <c r="M48" s="3524"/>
      <c r="N48" s="3524"/>
      <c r="O48" s="3524"/>
      <c r="P48" s="3524"/>
      <c r="Q48" s="3524"/>
      <c r="R48" s="3524"/>
      <c r="S48" s="3524"/>
      <c r="T48" s="3524"/>
      <c r="U48" s="3524"/>
      <c r="V48" s="3524"/>
      <c r="W48" s="3524"/>
      <c r="X48" s="3524"/>
      <c r="Y48" s="3524"/>
      <c r="Z48" s="3524"/>
      <c r="AA48" s="3524"/>
      <c r="AB48" s="3524"/>
      <c r="AC48" s="3524"/>
      <c r="AD48" s="3524"/>
      <c r="AE48" s="3524"/>
      <c r="AF48" s="3524"/>
      <c r="AG48" s="3524"/>
      <c r="AH48" s="3524"/>
      <c r="AI48" s="3524"/>
      <c r="AJ48" s="3524"/>
      <c r="AK48" s="3524"/>
      <c r="AL48" s="3524"/>
      <c r="AM48" s="3524"/>
      <c r="AN48" s="3525"/>
    </row>
    <row r="49" spans="2:40" ht="31.5" customHeight="1" thickBot="1" x14ac:dyDescent="0.35">
      <c r="B49" s="3526" t="s">
        <v>1586</v>
      </c>
      <c r="C49" s="3527"/>
      <c r="D49" s="3527"/>
      <c r="E49" s="3527"/>
      <c r="F49" s="3527"/>
      <c r="G49" s="3527"/>
      <c r="H49" s="3527"/>
      <c r="I49" s="3527"/>
      <c r="J49" s="3527"/>
      <c r="K49" s="3527"/>
      <c r="L49" s="3527"/>
      <c r="M49" s="3527"/>
      <c r="N49" s="3527"/>
      <c r="O49" s="3527"/>
      <c r="P49" s="3527"/>
      <c r="Q49" s="3527"/>
      <c r="R49" s="3527"/>
      <c r="S49" s="3527"/>
      <c r="T49" s="3527"/>
      <c r="U49" s="3527"/>
      <c r="V49" s="3527"/>
      <c r="W49" s="3527"/>
      <c r="X49" s="3527"/>
      <c r="Y49" s="3527"/>
      <c r="Z49" s="3527"/>
      <c r="AA49" s="3527"/>
      <c r="AB49" s="3527"/>
      <c r="AC49" s="3527"/>
      <c r="AD49" s="3527"/>
      <c r="AE49" s="3527"/>
      <c r="AF49" s="3527"/>
      <c r="AG49" s="3527"/>
      <c r="AH49" s="3527"/>
      <c r="AI49" s="3527"/>
      <c r="AJ49" s="3527"/>
      <c r="AK49" s="3527"/>
      <c r="AL49" s="3527"/>
      <c r="AM49" s="3527"/>
      <c r="AN49" s="3528"/>
    </row>
    <row r="52" spans="2:40" x14ac:dyDescent="0.3">
      <c r="H52" s="51" t="s">
        <v>186</v>
      </c>
    </row>
    <row r="64" spans="2:40" ht="1.5" customHeight="1" x14ac:dyDescent="0.3"/>
  </sheetData>
  <mergeCells count="8">
    <mergeCell ref="B48:AN48"/>
    <mergeCell ref="B49:AN49"/>
    <mergeCell ref="B1:AN1"/>
    <mergeCell ref="B2:AN2"/>
    <mergeCell ref="B3:B4"/>
    <mergeCell ref="C3:G3"/>
    <mergeCell ref="H3:AN3"/>
    <mergeCell ref="B47:G47"/>
  </mergeCells>
  <pageMargins left="0.70866141732283472" right="0.70866141732283472" top="0.74803149606299213" bottom="0.74803149606299213" header="0.31496062992125984" footer="0.31496062992125984"/>
  <pageSetup paperSize="9" scale="57" orientation="portrait" r:id="rId1"/>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933572-AC31-4E0A-AB11-965DCD7E86B8}">
  <sheetPr>
    <tabColor theme="0"/>
  </sheetPr>
  <dimension ref="B1:E64"/>
  <sheetViews>
    <sheetView view="pageLayout" topLeftCell="A28" zoomScaleNormal="80" workbookViewId="0">
      <selection activeCell="B2" sqref="B2:E2"/>
    </sheetView>
  </sheetViews>
  <sheetFormatPr defaultRowHeight="15" x14ac:dyDescent="0.25"/>
  <cols>
    <col min="1" max="1" width="9.140625" style="413"/>
    <col min="2" max="2" width="28.7109375" style="413" customWidth="1"/>
    <col min="3" max="3" width="18" style="413" customWidth="1"/>
    <col min="4" max="4" width="15" style="413" customWidth="1"/>
    <col min="5" max="5" width="15.5703125" style="413" customWidth="1"/>
    <col min="6" max="16384" width="9.140625" style="413"/>
  </cols>
  <sheetData>
    <row r="1" spans="2:5" x14ac:dyDescent="0.25">
      <c r="B1" s="1442"/>
      <c r="C1" s="1443"/>
    </row>
    <row r="2" spans="2:5" x14ac:dyDescent="0.25">
      <c r="B2" s="3541" t="s">
        <v>2558</v>
      </c>
      <c r="C2" s="3542"/>
      <c r="D2" s="3542"/>
      <c r="E2" s="3542"/>
    </row>
    <row r="3" spans="2:5" ht="45" x14ac:dyDescent="0.25">
      <c r="B3" s="52" t="s">
        <v>2507</v>
      </c>
      <c r="C3" s="52" t="s">
        <v>2510</v>
      </c>
      <c r="D3" s="52" t="s">
        <v>2509</v>
      </c>
      <c r="E3" s="52" t="s">
        <v>2508</v>
      </c>
    </row>
    <row r="4" spans="2:5" ht="16.5" x14ac:dyDescent="0.25">
      <c r="B4" s="1453" t="s">
        <v>1552</v>
      </c>
      <c r="C4" s="1206">
        <v>2484</v>
      </c>
      <c r="D4" s="1206">
        <v>1148</v>
      </c>
      <c r="E4" s="1206">
        <v>1376</v>
      </c>
    </row>
    <row r="5" spans="2:5" ht="16.5" x14ac:dyDescent="0.25">
      <c r="B5" s="1453" t="s">
        <v>1553</v>
      </c>
      <c r="C5" s="1206">
        <v>187</v>
      </c>
      <c r="D5" s="1206">
        <v>61</v>
      </c>
      <c r="E5" s="1206">
        <v>84</v>
      </c>
    </row>
    <row r="6" spans="2:5" ht="16.5" x14ac:dyDescent="0.25">
      <c r="B6" s="1453" t="s">
        <v>1554</v>
      </c>
      <c r="C6" s="1206">
        <v>848</v>
      </c>
      <c r="D6" s="1206">
        <v>361</v>
      </c>
      <c r="E6" s="1206">
        <v>535</v>
      </c>
    </row>
    <row r="7" spans="2:5" ht="16.5" x14ac:dyDescent="0.25">
      <c r="B7" s="1453" t="s">
        <v>1555</v>
      </c>
      <c r="C7" s="1206">
        <v>1896</v>
      </c>
      <c r="D7" s="1206">
        <v>534</v>
      </c>
      <c r="E7" s="1206">
        <v>1568</v>
      </c>
    </row>
    <row r="8" spans="2:5" ht="16.5" x14ac:dyDescent="0.25">
      <c r="B8" s="1452" t="s">
        <v>2511</v>
      </c>
      <c r="C8" s="1206">
        <v>1137</v>
      </c>
      <c r="D8" s="1206">
        <v>536</v>
      </c>
      <c r="E8" s="1206">
        <v>926</v>
      </c>
    </row>
    <row r="9" spans="2:5" ht="16.5" x14ac:dyDescent="0.25">
      <c r="B9" s="1453" t="s">
        <v>1556</v>
      </c>
      <c r="C9" s="1206">
        <v>1</v>
      </c>
      <c r="D9" s="1206">
        <v>401</v>
      </c>
      <c r="E9" s="1206">
        <v>0</v>
      </c>
    </row>
    <row r="10" spans="2:5" ht="16.5" x14ac:dyDescent="0.25">
      <c r="B10" s="1453" t="s">
        <v>1557</v>
      </c>
      <c r="C10" s="1206">
        <v>83</v>
      </c>
      <c r="D10" s="1206">
        <v>55</v>
      </c>
      <c r="E10" s="1206">
        <v>18</v>
      </c>
    </row>
    <row r="11" spans="2:5" ht="16.5" x14ac:dyDescent="0.25">
      <c r="B11" s="1453" t="s">
        <v>1558</v>
      </c>
      <c r="C11" s="1206">
        <v>3996</v>
      </c>
      <c r="D11" s="1206">
        <v>1867</v>
      </c>
      <c r="E11" s="1206">
        <v>784</v>
      </c>
    </row>
    <row r="12" spans="2:5" ht="16.5" x14ac:dyDescent="0.25">
      <c r="B12" s="1453" t="s">
        <v>1559</v>
      </c>
      <c r="C12" s="1206">
        <v>2083</v>
      </c>
      <c r="D12" s="1206">
        <v>820</v>
      </c>
      <c r="E12" s="1206">
        <v>1503</v>
      </c>
    </row>
    <row r="13" spans="2:5" ht="16.5" x14ac:dyDescent="0.25">
      <c r="B13" s="1453" t="s">
        <v>1560</v>
      </c>
      <c r="C13" s="1206">
        <v>450</v>
      </c>
      <c r="D13" s="1206">
        <v>118</v>
      </c>
      <c r="E13" s="1206">
        <v>321</v>
      </c>
    </row>
    <row r="14" spans="2:5" ht="16.5" x14ac:dyDescent="0.25">
      <c r="B14" s="1453" t="s">
        <v>1561</v>
      </c>
      <c r="C14" s="1206">
        <v>956</v>
      </c>
      <c r="D14" s="1206">
        <v>380</v>
      </c>
      <c r="E14" s="1206">
        <v>664</v>
      </c>
    </row>
    <row r="15" spans="2:5" ht="16.5" x14ac:dyDescent="0.25">
      <c r="B15" s="1460" t="s">
        <v>1562</v>
      </c>
      <c r="C15" s="1206">
        <v>3842</v>
      </c>
      <c r="D15" s="1206">
        <v>2094</v>
      </c>
      <c r="E15" s="1206">
        <v>1655</v>
      </c>
    </row>
    <row r="16" spans="2:5" ht="16.5" x14ac:dyDescent="0.25">
      <c r="B16" s="1453" t="s">
        <v>1563</v>
      </c>
      <c r="C16" s="1206">
        <v>1534</v>
      </c>
      <c r="D16" s="1206">
        <v>722</v>
      </c>
      <c r="E16" s="1206">
        <v>1040</v>
      </c>
    </row>
    <row r="17" spans="2:5" ht="16.5" x14ac:dyDescent="0.25">
      <c r="B17" s="1453" t="s">
        <v>1564</v>
      </c>
      <c r="C17" s="1206">
        <v>2733</v>
      </c>
      <c r="D17" s="1206">
        <v>1760</v>
      </c>
      <c r="E17" s="1206">
        <v>2529</v>
      </c>
    </row>
    <row r="18" spans="2:5" ht="16.5" x14ac:dyDescent="0.25">
      <c r="B18" s="1453" t="s">
        <v>1565</v>
      </c>
      <c r="C18" s="1206">
        <v>5794</v>
      </c>
      <c r="D18" s="1206">
        <v>2147</v>
      </c>
      <c r="E18" s="1206">
        <v>1399</v>
      </c>
    </row>
    <row r="19" spans="2:5" ht="16.5" x14ac:dyDescent="0.25">
      <c r="B19" s="1453" t="s">
        <v>1566</v>
      </c>
      <c r="C19" s="1206">
        <v>139</v>
      </c>
      <c r="D19" s="1206">
        <v>24</v>
      </c>
      <c r="E19" s="1206">
        <v>59</v>
      </c>
    </row>
    <row r="20" spans="2:5" ht="16.5" x14ac:dyDescent="0.25">
      <c r="B20" s="1453" t="s">
        <v>1567</v>
      </c>
      <c r="C20" s="1206">
        <v>259</v>
      </c>
      <c r="D20" s="1206">
        <v>48</v>
      </c>
      <c r="E20" s="1206">
        <v>56</v>
      </c>
    </row>
    <row r="21" spans="2:5" ht="16.5" x14ac:dyDescent="0.25">
      <c r="B21" s="1453" t="s">
        <v>1568</v>
      </c>
      <c r="C21" s="1206">
        <v>77</v>
      </c>
      <c r="D21" s="1206">
        <v>33</v>
      </c>
      <c r="E21" s="1206">
        <v>24</v>
      </c>
    </row>
    <row r="22" spans="2:5" ht="16.5" x14ac:dyDescent="0.25">
      <c r="B22" s="1453" t="s">
        <v>1569</v>
      </c>
      <c r="C22" s="1206">
        <v>137</v>
      </c>
      <c r="D22" s="1206">
        <v>59</v>
      </c>
      <c r="E22" s="1206">
        <v>52</v>
      </c>
    </row>
    <row r="23" spans="2:5" ht="16.5" x14ac:dyDescent="0.25">
      <c r="B23" s="19" t="s">
        <v>631</v>
      </c>
      <c r="C23" s="1206">
        <v>1357</v>
      </c>
      <c r="D23" s="1206">
        <v>466</v>
      </c>
      <c r="E23" s="1206">
        <v>1058</v>
      </c>
    </row>
    <row r="24" spans="2:5" ht="16.5" x14ac:dyDescent="0.25">
      <c r="B24" s="1453" t="s">
        <v>1571</v>
      </c>
      <c r="C24" s="1206">
        <v>1881</v>
      </c>
      <c r="D24" s="1206">
        <v>1071</v>
      </c>
      <c r="E24" s="1206">
        <v>1362</v>
      </c>
    </row>
    <row r="25" spans="2:5" ht="16.5" x14ac:dyDescent="0.25">
      <c r="B25" s="1453" t="s">
        <v>1572</v>
      </c>
      <c r="C25" s="1206">
        <v>3729</v>
      </c>
      <c r="D25" s="1206">
        <v>1683</v>
      </c>
      <c r="E25" s="1206">
        <v>2035</v>
      </c>
    </row>
    <row r="26" spans="2:5" ht="16.5" x14ac:dyDescent="0.25">
      <c r="B26" s="1453" t="s">
        <v>1573</v>
      </c>
      <c r="C26" s="1206">
        <v>42</v>
      </c>
      <c r="D26" s="1206">
        <v>20</v>
      </c>
      <c r="E26" s="1206">
        <v>15</v>
      </c>
    </row>
    <row r="27" spans="2:5" ht="16.5" x14ac:dyDescent="0.25">
      <c r="B27" s="1453" t="s">
        <v>1574</v>
      </c>
      <c r="C27" s="1206">
        <v>3839</v>
      </c>
      <c r="D27" s="1206">
        <v>2451</v>
      </c>
      <c r="E27" s="1206">
        <v>1785</v>
      </c>
    </row>
    <row r="28" spans="2:5" ht="16.5" x14ac:dyDescent="0.25">
      <c r="B28" s="1453" t="s">
        <v>1575</v>
      </c>
      <c r="C28" s="1206">
        <v>1572</v>
      </c>
      <c r="D28" s="1206">
        <v>1455</v>
      </c>
      <c r="E28" s="1206">
        <v>1592</v>
      </c>
    </row>
    <row r="29" spans="2:5" ht="16.5" x14ac:dyDescent="0.25">
      <c r="B29" s="1453" t="s">
        <v>1576</v>
      </c>
      <c r="C29" s="1206">
        <v>77</v>
      </c>
      <c r="D29" s="1206">
        <v>50</v>
      </c>
      <c r="E29" s="1206">
        <v>33</v>
      </c>
    </row>
    <row r="30" spans="2:5" ht="16.5" x14ac:dyDescent="0.25">
      <c r="B30" s="1453" t="s">
        <v>1577</v>
      </c>
      <c r="C30" s="1206">
        <v>5435</v>
      </c>
      <c r="D30" s="1206">
        <v>2559</v>
      </c>
      <c r="E30" s="1206">
        <v>5338</v>
      </c>
    </row>
    <row r="31" spans="2:5" ht="16.5" x14ac:dyDescent="0.25">
      <c r="B31" s="1453" t="s">
        <v>1578</v>
      </c>
      <c r="C31" s="1206">
        <v>540</v>
      </c>
      <c r="D31" s="1206">
        <v>219</v>
      </c>
      <c r="E31" s="1206">
        <v>220</v>
      </c>
    </row>
    <row r="32" spans="2:5" ht="16.5" x14ac:dyDescent="0.25">
      <c r="B32" s="1453" t="s">
        <v>1579</v>
      </c>
      <c r="C32" s="1206">
        <v>1690</v>
      </c>
      <c r="D32" s="1206">
        <v>704</v>
      </c>
      <c r="E32" s="1206">
        <v>1124</v>
      </c>
    </row>
    <row r="33" spans="2:5" ht="16.5" x14ac:dyDescent="0.25">
      <c r="B33" s="1453" t="s">
        <v>2512</v>
      </c>
      <c r="C33" s="1206">
        <v>8</v>
      </c>
      <c r="D33" s="1206">
        <v>10</v>
      </c>
      <c r="E33" s="1206">
        <v>5</v>
      </c>
    </row>
    <row r="34" spans="2:5" ht="16.5" x14ac:dyDescent="0.25">
      <c r="B34" s="1453" t="s">
        <v>1581</v>
      </c>
      <c r="C34" s="1206">
        <v>0</v>
      </c>
      <c r="D34" s="1206">
        <v>48</v>
      </c>
      <c r="E34" s="1206">
        <v>0</v>
      </c>
    </row>
    <row r="35" spans="2:5" ht="16.5" x14ac:dyDescent="0.25">
      <c r="B35" s="1452" t="s">
        <v>2513</v>
      </c>
      <c r="C35" s="1206">
        <v>39</v>
      </c>
      <c r="D35" s="1206">
        <v>16</v>
      </c>
      <c r="E35" s="1206">
        <v>8</v>
      </c>
    </row>
    <row r="36" spans="2:5" ht="16.5" x14ac:dyDescent="0.25">
      <c r="B36" s="1452" t="s">
        <v>2514</v>
      </c>
      <c r="C36" s="1206">
        <v>0</v>
      </c>
      <c r="D36" s="1206">
        <v>12</v>
      </c>
      <c r="E36" s="1206">
        <v>1</v>
      </c>
    </row>
    <row r="37" spans="2:5" ht="16.5" x14ac:dyDescent="0.25">
      <c r="B37" s="1453" t="s">
        <v>1487</v>
      </c>
      <c r="C37" s="1206">
        <v>283</v>
      </c>
      <c r="D37" s="1206">
        <v>235</v>
      </c>
      <c r="E37" s="1206">
        <v>297</v>
      </c>
    </row>
    <row r="38" spans="2:5" ht="16.5" x14ac:dyDescent="0.25">
      <c r="B38" s="1453" t="s">
        <v>1583</v>
      </c>
      <c r="C38" s="1206">
        <v>26</v>
      </c>
      <c r="D38" s="1206">
        <v>8</v>
      </c>
      <c r="E38" s="1206">
        <v>8</v>
      </c>
    </row>
    <row r="39" spans="2:5" ht="16.5" x14ac:dyDescent="0.25">
      <c r="B39" s="1452" t="s">
        <v>2515</v>
      </c>
      <c r="C39" s="1206">
        <v>0</v>
      </c>
      <c r="D39" s="1206">
        <v>0</v>
      </c>
      <c r="E39" s="1206">
        <v>4</v>
      </c>
    </row>
    <row r="40" spans="2:5" ht="16.5" x14ac:dyDescent="0.25">
      <c r="B40" s="1453" t="s">
        <v>1585</v>
      </c>
      <c r="C40" s="1206">
        <v>46</v>
      </c>
      <c r="D40" s="1206">
        <v>118</v>
      </c>
      <c r="E40" s="1206">
        <v>52</v>
      </c>
    </row>
    <row r="41" spans="2:5" x14ac:dyDescent="0.25">
      <c r="B41" s="56" t="s">
        <v>2516</v>
      </c>
      <c r="C41" s="56">
        <v>49200</v>
      </c>
      <c r="D41" s="56">
        <v>24293</v>
      </c>
      <c r="E41" s="56">
        <v>29530</v>
      </c>
    </row>
    <row r="64" ht="1.5" customHeight="1" x14ac:dyDescent="0.25"/>
  </sheetData>
  <mergeCells count="1">
    <mergeCell ref="B2:E2"/>
  </mergeCells>
  <pageMargins left="0.7" right="0.7" top="0.75" bottom="0.75" header="0.3" footer="0.3"/>
  <pageSetup paperSize="9" orientation="portrait" verticalDpi="300" r:id="rId1"/>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70C044-97C8-411F-91BE-7E0095E93DA6}">
  <sheetPr>
    <tabColor theme="0"/>
    <pageSetUpPr fitToPage="1"/>
  </sheetPr>
  <dimension ref="B1:AV64"/>
  <sheetViews>
    <sheetView view="pageLayout" topLeftCell="C1" zoomScale="80" zoomScaleNormal="70" zoomScalePageLayoutView="80" workbookViewId="0">
      <selection activeCell="S34" sqref="S34"/>
    </sheetView>
  </sheetViews>
  <sheetFormatPr defaultColWidth="9.140625" defaultRowHeight="16.5" x14ac:dyDescent="0.3"/>
  <cols>
    <col min="1" max="2" width="9.140625" style="4"/>
    <col min="3" max="3" width="2.5703125" style="4" customWidth="1"/>
    <col min="4" max="15" width="9.140625" style="4" customWidth="1"/>
    <col min="16" max="16" width="13.7109375" style="4" customWidth="1"/>
    <col min="17" max="17" width="19.5703125" style="4" customWidth="1"/>
    <col min="18" max="18" width="9.85546875" style="4" customWidth="1"/>
    <col min="19" max="19" width="9.140625" style="4"/>
    <col min="20" max="20" width="21.28515625" style="4" bestFit="1" customWidth="1"/>
    <col min="21" max="21" width="12.5703125" style="4" customWidth="1"/>
    <col min="22" max="22" width="17.5703125" style="4" customWidth="1"/>
    <col min="23" max="23" width="12.7109375" style="4" bestFit="1" customWidth="1"/>
    <col min="24" max="24" width="6.7109375" style="4" customWidth="1"/>
    <col min="25" max="25" width="13.85546875" style="4" customWidth="1"/>
    <col min="26" max="26" width="11.5703125" style="4" customWidth="1"/>
    <col min="27" max="27" width="10.42578125" style="4" customWidth="1"/>
    <col min="28" max="29" width="9.140625" style="4"/>
    <col min="30" max="30" width="11" style="4" customWidth="1"/>
    <col min="31" max="32" width="9.85546875" style="4" bestFit="1" customWidth="1"/>
    <col min="33" max="33" width="9.140625" style="4"/>
    <col min="34" max="34" width="9.140625" style="4" customWidth="1"/>
    <col min="35" max="40" width="9.140625" style="4"/>
    <col min="41" max="41" width="13.7109375" style="4" bestFit="1" customWidth="1"/>
    <col min="42" max="42" width="18.85546875" style="4" bestFit="1" customWidth="1"/>
    <col min="43" max="43" width="9" style="4" bestFit="1" customWidth="1"/>
    <col min="44" max="44" width="11.5703125" style="4" bestFit="1" customWidth="1"/>
    <col min="45" max="45" width="12.7109375" style="4" bestFit="1" customWidth="1"/>
    <col min="46" max="46" width="9.140625" style="4"/>
    <col min="47" max="47" width="5" style="4" bestFit="1" customWidth="1"/>
    <col min="48" max="48" width="8.42578125" style="4" customWidth="1"/>
    <col min="49" max="49" width="8.28515625" style="4" bestFit="1" customWidth="1"/>
    <col min="50" max="16384" width="9.140625" style="4"/>
  </cols>
  <sheetData>
    <row r="1" spans="2:27" ht="17.25" thickBot="1" x14ac:dyDescent="0.35"/>
    <row r="2" spans="2:27" ht="24" customHeight="1" x14ac:dyDescent="0.3">
      <c r="C2" s="495"/>
      <c r="D2" s="3549" t="s">
        <v>1587</v>
      </c>
      <c r="E2" s="3549"/>
      <c r="F2" s="3549"/>
      <c r="G2" s="3549"/>
      <c r="H2" s="3549"/>
      <c r="I2" s="3549"/>
      <c r="J2" s="3549"/>
      <c r="K2" s="3549"/>
      <c r="L2" s="3549"/>
      <c r="M2" s="3549"/>
      <c r="N2" s="3549"/>
      <c r="O2" s="3549"/>
      <c r="P2" s="3549"/>
      <c r="Q2" s="3550"/>
      <c r="T2" s="55" t="s">
        <v>1588</v>
      </c>
    </row>
    <row r="3" spans="2:27" ht="24" customHeight="1" x14ac:dyDescent="0.3">
      <c r="C3" s="86"/>
      <c r="D3" s="3551"/>
      <c r="E3" s="3551"/>
      <c r="F3" s="3551"/>
      <c r="G3" s="3551"/>
      <c r="H3" s="3551"/>
      <c r="I3" s="3551"/>
      <c r="J3" s="3551"/>
      <c r="K3" s="3551"/>
      <c r="L3" s="3551"/>
      <c r="M3" s="3551"/>
      <c r="N3" s="3551"/>
      <c r="O3" s="3551"/>
      <c r="P3" s="3551"/>
      <c r="Q3" s="87"/>
      <c r="T3" s="55"/>
    </row>
    <row r="4" spans="2:27" x14ac:dyDescent="0.3">
      <c r="C4" s="86"/>
      <c r="T4" s="178"/>
      <c r="U4" s="178"/>
      <c r="V4" s="178"/>
      <c r="W4" s="178"/>
      <c r="X4" s="178"/>
      <c r="Y4" s="178"/>
      <c r="Z4" s="178"/>
      <c r="AA4" s="178"/>
    </row>
    <row r="5" spans="2:27" ht="31.5" customHeight="1" x14ac:dyDescent="0.3">
      <c r="C5" s="86"/>
      <c r="Q5" s="87"/>
      <c r="T5" s="179" t="s">
        <v>1589</v>
      </c>
      <c r="U5" s="46" t="s">
        <v>1590</v>
      </c>
      <c r="V5" s="46" t="s">
        <v>1591</v>
      </c>
      <c r="W5" s="46" t="s">
        <v>1592</v>
      </c>
      <c r="X5" s="3"/>
      <c r="Y5" s="19" t="s">
        <v>298</v>
      </c>
      <c r="Z5" s="19" t="s">
        <v>1590</v>
      </c>
      <c r="AA5" s="19" t="s">
        <v>1593</v>
      </c>
    </row>
    <row r="6" spans="2:27" x14ac:dyDescent="0.3">
      <c r="C6" s="86"/>
      <c r="Q6" s="87"/>
      <c r="T6" s="180" t="s">
        <v>1594</v>
      </c>
      <c r="U6" s="54">
        <v>18848</v>
      </c>
      <c r="V6" s="54">
        <v>0</v>
      </c>
      <c r="W6" s="54">
        <v>18848</v>
      </c>
      <c r="Y6" s="19" t="s">
        <v>1595</v>
      </c>
      <c r="Z6" s="181">
        <f t="shared" ref="Z6:Z28" si="0">+U6/W6</f>
        <v>1</v>
      </c>
      <c r="AA6" s="181">
        <f t="shared" ref="AA6:AA28" si="1">+V6/W6</f>
        <v>0</v>
      </c>
    </row>
    <row r="7" spans="2:27" x14ac:dyDescent="0.3">
      <c r="C7" s="86"/>
      <c r="Q7" s="87"/>
      <c r="T7" s="180" t="s">
        <v>1596</v>
      </c>
      <c r="U7" s="54">
        <v>19809</v>
      </c>
      <c r="V7" s="54">
        <v>0</v>
      </c>
      <c r="W7" s="54">
        <v>19809</v>
      </c>
      <c r="Y7" s="19" t="s">
        <v>1597</v>
      </c>
      <c r="Z7" s="181">
        <f t="shared" si="0"/>
        <v>1</v>
      </c>
      <c r="AA7" s="181">
        <f t="shared" si="1"/>
        <v>0</v>
      </c>
    </row>
    <row r="8" spans="2:27" x14ac:dyDescent="0.3">
      <c r="C8" s="86"/>
      <c r="Q8" s="87"/>
      <c r="T8" s="180" t="s">
        <v>1598</v>
      </c>
      <c r="U8" s="54">
        <v>22913</v>
      </c>
      <c r="V8" s="54">
        <v>27</v>
      </c>
      <c r="W8" s="54">
        <v>22940</v>
      </c>
      <c r="Y8" s="19" t="s">
        <v>1599</v>
      </c>
      <c r="Z8" s="181">
        <f t="shared" si="0"/>
        <v>0.99882301656495209</v>
      </c>
      <c r="AA8" s="181">
        <f t="shared" si="1"/>
        <v>1.1769834350479512E-3</v>
      </c>
    </row>
    <row r="9" spans="2:27" x14ac:dyDescent="0.3">
      <c r="C9" s="86"/>
      <c r="Q9" s="87"/>
      <c r="T9" s="180" t="s">
        <v>1600</v>
      </c>
      <c r="U9" s="54">
        <v>26578</v>
      </c>
      <c r="V9" s="54">
        <v>787</v>
      </c>
      <c r="W9" s="54">
        <v>27365</v>
      </c>
      <c r="Y9" s="19" t="s">
        <v>1601</v>
      </c>
      <c r="Z9" s="181">
        <f t="shared" si="0"/>
        <v>0.9712406358487119</v>
      </c>
      <c r="AA9" s="181">
        <f t="shared" si="1"/>
        <v>2.8759364151288141E-2</v>
      </c>
    </row>
    <row r="10" spans="2:27" x14ac:dyDescent="0.3">
      <c r="C10" s="86"/>
      <c r="Q10" s="87"/>
      <c r="T10" s="180" t="s">
        <v>1602</v>
      </c>
      <c r="U10" s="54">
        <v>29900</v>
      </c>
      <c r="V10" s="54">
        <v>1747</v>
      </c>
      <c r="W10" s="54">
        <v>31647</v>
      </c>
      <c r="Y10" s="19" t="s">
        <v>1603</v>
      </c>
      <c r="Z10" s="181">
        <f t="shared" si="0"/>
        <v>0.94479729516225863</v>
      </c>
      <c r="AA10" s="181">
        <f t="shared" si="1"/>
        <v>5.5202704837741333E-2</v>
      </c>
    </row>
    <row r="11" spans="2:27" x14ac:dyDescent="0.3">
      <c r="C11" s="86"/>
      <c r="Q11" s="87"/>
      <c r="T11" s="180" t="s">
        <v>1604</v>
      </c>
      <c r="U11" s="54">
        <v>32214</v>
      </c>
      <c r="V11" s="54">
        <v>2447</v>
      </c>
      <c r="W11" s="54">
        <v>34661</v>
      </c>
      <c r="Y11" s="19" t="s">
        <v>1605</v>
      </c>
      <c r="Z11" s="181">
        <f t="shared" si="0"/>
        <v>0.92940192146793221</v>
      </c>
      <c r="AA11" s="181">
        <f t="shared" si="1"/>
        <v>7.0598078532067746E-2</v>
      </c>
    </row>
    <row r="12" spans="2:27" x14ac:dyDescent="0.3">
      <c r="C12" s="86"/>
      <c r="Q12" s="87"/>
      <c r="T12" s="180" t="s">
        <v>1606</v>
      </c>
      <c r="U12" s="54">
        <v>34211</v>
      </c>
      <c r="V12" s="54">
        <v>2634</v>
      </c>
      <c r="W12" s="54">
        <v>36845</v>
      </c>
      <c r="Y12" s="19" t="s">
        <v>1607</v>
      </c>
      <c r="Z12" s="181">
        <f t="shared" si="0"/>
        <v>0.92851133125254448</v>
      </c>
      <c r="AA12" s="181">
        <f t="shared" si="1"/>
        <v>7.1488668747455561E-2</v>
      </c>
    </row>
    <row r="13" spans="2:27" x14ac:dyDescent="0.3">
      <c r="C13" s="86"/>
      <c r="Q13" s="87"/>
      <c r="T13" s="180" t="s">
        <v>1608</v>
      </c>
      <c r="U13" s="54">
        <v>35178</v>
      </c>
      <c r="V13" s="54">
        <v>2774</v>
      </c>
      <c r="W13" s="54">
        <v>37952</v>
      </c>
      <c r="Y13" s="19" t="s">
        <v>1609</v>
      </c>
      <c r="Z13" s="181">
        <f t="shared" si="0"/>
        <v>0.92690767284991571</v>
      </c>
      <c r="AA13" s="181">
        <f t="shared" si="1"/>
        <v>7.3092327150084319E-2</v>
      </c>
    </row>
    <row r="14" spans="2:27" x14ac:dyDescent="0.3">
      <c r="C14" s="86"/>
      <c r="Q14" s="87"/>
      <c r="T14" s="180" t="s">
        <v>1610</v>
      </c>
      <c r="U14" s="54">
        <v>36573</v>
      </c>
      <c r="V14" s="54">
        <v>2858</v>
      </c>
      <c r="W14" s="54">
        <v>39431</v>
      </c>
      <c r="Y14" s="19" t="s">
        <v>1611</v>
      </c>
      <c r="Z14" s="181">
        <f t="shared" si="0"/>
        <v>0.92751895716568178</v>
      </c>
      <c r="AA14" s="181">
        <f t="shared" si="1"/>
        <v>7.248104283431818E-2</v>
      </c>
    </row>
    <row r="15" spans="2:27" ht="76.5" customHeight="1" x14ac:dyDescent="0.3">
      <c r="B15" s="1454"/>
      <c r="C15" s="86"/>
      <c r="Q15" s="87"/>
      <c r="T15" s="180" t="s">
        <v>1612</v>
      </c>
      <c r="U15" s="54">
        <v>39039</v>
      </c>
      <c r="V15" s="54">
        <v>2910</v>
      </c>
      <c r="W15" s="54">
        <v>41949</v>
      </c>
      <c r="Y15" s="19" t="s">
        <v>1613</v>
      </c>
      <c r="Z15" s="181">
        <f t="shared" si="0"/>
        <v>0.93063005077594219</v>
      </c>
      <c r="AA15" s="181">
        <f t="shared" si="1"/>
        <v>6.9369949224057786E-2</v>
      </c>
    </row>
    <row r="16" spans="2:27" x14ac:dyDescent="0.3">
      <c r="C16" s="86"/>
      <c r="Q16" s="87"/>
      <c r="T16" s="180" t="s">
        <v>1614</v>
      </c>
      <c r="U16" s="54">
        <v>42216</v>
      </c>
      <c r="V16" s="54">
        <v>2888</v>
      </c>
      <c r="W16" s="54">
        <v>45104</v>
      </c>
      <c r="Y16" s="19" t="s">
        <v>1615</v>
      </c>
      <c r="Z16" s="181">
        <f t="shared" si="0"/>
        <v>0.93597020219936145</v>
      </c>
      <c r="AA16" s="181">
        <f t="shared" si="1"/>
        <v>6.4029797800638527E-2</v>
      </c>
    </row>
    <row r="17" spans="3:27" x14ac:dyDescent="0.3">
      <c r="C17" s="86"/>
      <c r="Q17" s="87"/>
      <c r="T17" s="180" t="s">
        <v>1616</v>
      </c>
      <c r="U17" s="54">
        <v>46185</v>
      </c>
      <c r="V17" s="54">
        <v>2892</v>
      </c>
      <c r="W17" s="54">
        <v>49077</v>
      </c>
      <c r="Y17" s="19" t="s">
        <v>1617</v>
      </c>
      <c r="Z17" s="181">
        <f t="shared" si="0"/>
        <v>0.94107219267681397</v>
      </c>
      <c r="AA17" s="181">
        <f t="shared" si="1"/>
        <v>5.8927807323186011E-2</v>
      </c>
    </row>
    <row r="18" spans="3:27" x14ac:dyDescent="0.3">
      <c r="C18" s="86"/>
      <c r="Q18" s="87"/>
      <c r="T18" s="180" t="s">
        <v>1618</v>
      </c>
      <c r="U18" s="54">
        <v>48988</v>
      </c>
      <c r="V18" s="54">
        <v>2882</v>
      </c>
      <c r="W18" s="54">
        <v>51870</v>
      </c>
      <c r="Y18" s="19" t="s">
        <v>1619</v>
      </c>
      <c r="Z18" s="181">
        <f t="shared" si="0"/>
        <v>0.94443801812222861</v>
      </c>
      <c r="AA18" s="181">
        <f t="shared" si="1"/>
        <v>5.5561981877771352E-2</v>
      </c>
    </row>
    <row r="19" spans="3:27" x14ac:dyDescent="0.3">
      <c r="C19" s="86"/>
      <c r="Q19" s="87"/>
      <c r="T19" s="180" t="s">
        <v>1620</v>
      </c>
      <c r="U19" s="54">
        <v>50451</v>
      </c>
      <c r="V19" s="54">
        <v>2967</v>
      </c>
      <c r="W19" s="54">
        <v>53418</v>
      </c>
      <c r="Y19" s="19" t="s">
        <v>1621</v>
      </c>
      <c r="Z19" s="181">
        <f t="shared" si="0"/>
        <v>0.94445692463214648</v>
      </c>
      <c r="AA19" s="181">
        <f t="shared" si="1"/>
        <v>5.554307536785353E-2</v>
      </c>
    </row>
    <row r="20" spans="3:27" x14ac:dyDescent="0.3">
      <c r="C20" s="86"/>
      <c r="Q20" s="87"/>
      <c r="T20" s="180" t="s">
        <v>1622</v>
      </c>
      <c r="U20" s="54">
        <v>52608</v>
      </c>
      <c r="V20" s="54">
        <v>3582</v>
      </c>
      <c r="W20" s="54">
        <v>56190</v>
      </c>
      <c r="Y20" s="114" t="s">
        <v>1623</v>
      </c>
      <c r="Z20" s="181">
        <f t="shared" si="0"/>
        <v>0.93625200213561133</v>
      </c>
      <c r="AA20" s="181">
        <f t="shared" si="1"/>
        <v>6.3747997864388686E-2</v>
      </c>
    </row>
    <row r="21" spans="3:27" x14ac:dyDescent="0.3">
      <c r="C21" s="86"/>
      <c r="Q21" s="87"/>
      <c r="T21" s="180" t="s">
        <v>1624</v>
      </c>
      <c r="U21" s="56">
        <v>54611</v>
      </c>
      <c r="V21" s="56">
        <v>4984</v>
      </c>
      <c r="W21" s="56">
        <v>59595</v>
      </c>
      <c r="Y21" s="19" t="s">
        <v>1625</v>
      </c>
      <c r="Z21" s="181">
        <f t="shared" si="0"/>
        <v>0.91636882288782617</v>
      </c>
      <c r="AA21" s="181">
        <f t="shared" si="1"/>
        <v>8.3631177112173841E-2</v>
      </c>
    </row>
    <row r="22" spans="3:27" x14ac:dyDescent="0.3">
      <c r="C22" s="86"/>
      <c r="Q22" s="87"/>
      <c r="T22" s="180" t="s">
        <v>1626</v>
      </c>
      <c r="U22" s="56">
        <v>56604</v>
      </c>
      <c r="V22" s="56">
        <v>5981</v>
      </c>
      <c r="W22" s="56">
        <v>62585</v>
      </c>
      <c r="Y22" s="19" t="s">
        <v>1627</v>
      </c>
      <c r="Z22" s="181">
        <f t="shared" si="0"/>
        <v>0.90443396980107049</v>
      </c>
      <c r="AA22" s="181">
        <f t="shared" si="1"/>
        <v>9.5566030198929452E-2</v>
      </c>
    </row>
    <row r="23" spans="3:27" x14ac:dyDescent="0.3">
      <c r="C23" s="86"/>
      <c r="Q23" s="87"/>
      <c r="T23" s="180" t="s">
        <v>1628</v>
      </c>
      <c r="U23" s="56">
        <f>27702+14803+15440+7</f>
        <v>57952</v>
      </c>
      <c r="V23" s="56">
        <f>1400+5128+145</f>
        <v>6673</v>
      </c>
      <c r="W23" s="56">
        <f>+U23+V23</f>
        <v>64625</v>
      </c>
      <c r="Y23" s="19" t="s">
        <v>1629</v>
      </c>
      <c r="Z23" s="181">
        <f t="shared" si="0"/>
        <v>0.89674274661508702</v>
      </c>
      <c r="AA23" s="181">
        <f t="shared" si="1"/>
        <v>0.10325725338491296</v>
      </c>
    </row>
    <row r="24" spans="3:27" ht="16.5" customHeight="1" x14ac:dyDescent="0.3">
      <c r="C24" s="86"/>
      <c r="D24" s="3552" t="s">
        <v>2890</v>
      </c>
      <c r="E24" s="3552"/>
      <c r="F24" s="3552"/>
      <c r="G24" s="3552"/>
      <c r="H24" s="3552"/>
      <c r="I24" s="3552"/>
      <c r="J24" s="3552"/>
      <c r="K24" s="3552"/>
      <c r="L24" s="3552"/>
      <c r="M24" s="3552"/>
      <c r="N24" s="3552"/>
      <c r="O24" s="3552"/>
      <c r="P24" s="3552"/>
      <c r="Q24" s="3553"/>
      <c r="T24" s="180" t="s">
        <v>1630</v>
      </c>
      <c r="U24" s="56">
        <v>61802</v>
      </c>
      <c r="V24" s="56">
        <v>7287</v>
      </c>
      <c r="W24" s="56">
        <f>+U24+V24</f>
        <v>69089</v>
      </c>
      <c r="Y24" s="180" t="s">
        <v>1630</v>
      </c>
      <c r="Z24" s="181">
        <f t="shared" si="0"/>
        <v>0.89452734878200579</v>
      </c>
      <c r="AA24" s="181">
        <f t="shared" si="1"/>
        <v>0.10547265121799418</v>
      </c>
    </row>
    <row r="25" spans="3:27" ht="15" customHeight="1" x14ac:dyDescent="0.3">
      <c r="C25" s="86"/>
      <c r="D25" s="3552"/>
      <c r="E25" s="3552"/>
      <c r="F25" s="3552"/>
      <c r="G25" s="3552"/>
      <c r="H25" s="3552"/>
      <c r="I25" s="3552"/>
      <c r="J25" s="3552"/>
      <c r="K25" s="3552"/>
      <c r="L25" s="3552"/>
      <c r="M25" s="3552"/>
      <c r="N25" s="3552"/>
      <c r="O25" s="3552"/>
      <c r="P25" s="3552"/>
      <c r="Q25" s="3553"/>
      <c r="R25" s="113"/>
      <c r="T25" s="180" t="s">
        <v>1631</v>
      </c>
      <c r="U25" s="56">
        <v>69351</v>
      </c>
      <c r="V25" s="56">
        <v>7744</v>
      </c>
      <c r="W25" s="56">
        <f t="shared" ref="W25:W30" si="2">V25+U25</f>
        <v>77095</v>
      </c>
      <c r="Y25" s="180" t="s">
        <v>1631</v>
      </c>
      <c r="Z25" s="181">
        <f t="shared" si="0"/>
        <v>0.89955250016213761</v>
      </c>
      <c r="AA25" s="181">
        <f t="shared" si="1"/>
        <v>0.10044749983786237</v>
      </c>
    </row>
    <row r="26" spans="3:27" ht="27" customHeight="1" thickBot="1" x14ac:dyDescent="0.35">
      <c r="C26" s="496"/>
      <c r="D26" s="3554"/>
      <c r="E26" s="3554"/>
      <c r="F26" s="3554"/>
      <c r="G26" s="3554"/>
      <c r="H26" s="3554"/>
      <c r="I26" s="3554"/>
      <c r="J26" s="3554"/>
      <c r="K26" s="3554"/>
      <c r="L26" s="3554"/>
      <c r="M26" s="3554"/>
      <c r="N26" s="3554"/>
      <c r="O26" s="3554"/>
      <c r="P26" s="3554"/>
      <c r="Q26" s="3555"/>
      <c r="T26" s="180" t="s">
        <v>1632</v>
      </c>
      <c r="U26" s="56">
        <v>74679</v>
      </c>
      <c r="V26" s="56">
        <v>8348</v>
      </c>
      <c r="W26" s="56">
        <f t="shared" si="2"/>
        <v>83027</v>
      </c>
      <c r="Y26" s="180" t="s">
        <v>1632</v>
      </c>
      <c r="Z26" s="181">
        <f t="shared" si="0"/>
        <v>0.89945439435364405</v>
      </c>
      <c r="AA26" s="181">
        <f t="shared" si="1"/>
        <v>0.10054560564635601</v>
      </c>
    </row>
    <row r="27" spans="3:27" ht="19.5" customHeight="1" x14ac:dyDescent="0.3">
      <c r="D27" s="3556"/>
      <c r="E27" s="3556"/>
      <c r="F27" s="3556"/>
      <c r="G27" s="3556"/>
      <c r="H27" s="3556"/>
      <c r="I27" s="3556"/>
      <c r="J27" s="3556"/>
      <c r="K27" s="3556"/>
      <c r="L27" s="3556"/>
      <c r="M27" s="3556"/>
      <c r="N27" s="3556"/>
      <c r="O27" s="3556"/>
      <c r="P27" s="3556"/>
      <c r="Q27" s="87"/>
      <c r="T27" s="180" t="s">
        <v>1001</v>
      </c>
      <c r="U27" s="56">
        <v>78563</v>
      </c>
      <c r="V27" s="56">
        <v>8292</v>
      </c>
      <c r="W27" s="56">
        <f t="shared" si="2"/>
        <v>86855</v>
      </c>
      <c r="Y27" s="180" t="s">
        <v>1001</v>
      </c>
      <c r="Z27" s="181">
        <f t="shared" si="0"/>
        <v>0.90453053940475503</v>
      </c>
      <c r="AA27" s="181">
        <f t="shared" si="1"/>
        <v>9.5469460595244943E-2</v>
      </c>
    </row>
    <row r="28" spans="3:27" ht="12" customHeight="1" x14ac:dyDescent="0.3">
      <c r="D28" s="182"/>
      <c r="E28" s="182"/>
      <c r="F28" s="182"/>
      <c r="G28" s="182"/>
      <c r="H28" s="182"/>
      <c r="I28" s="182"/>
      <c r="J28" s="182"/>
      <c r="K28" s="182"/>
      <c r="L28" s="182"/>
      <c r="M28" s="182"/>
      <c r="N28" s="182"/>
      <c r="O28" s="182"/>
      <c r="P28" s="182"/>
      <c r="Q28" s="87"/>
      <c r="T28" s="180" t="s">
        <v>1002</v>
      </c>
      <c r="U28" s="56">
        <v>81436</v>
      </c>
      <c r="V28" s="56">
        <v>8648</v>
      </c>
      <c r="W28" s="56">
        <f t="shared" si="2"/>
        <v>90084</v>
      </c>
      <c r="Y28" s="180" t="s">
        <v>1001</v>
      </c>
      <c r="Z28" s="181">
        <f t="shared" si="0"/>
        <v>0.90400071044802632</v>
      </c>
      <c r="AA28" s="181">
        <f t="shared" si="1"/>
        <v>9.5999289551973718E-2</v>
      </c>
    </row>
    <row r="29" spans="3:27" ht="12" customHeight="1" thickBot="1" x14ac:dyDescent="0.35">
      <c r="D29" s="182"/>
      <c r="E29" s="182"/>
      <c r="F29" s="182"/>
      <c r="G29" s="182"/>
      <c r="H29" s="182"/>
      <c r="I29" s="182"/>
      <c r="J29" s="182"/>
      <c r="K29" s="182"/>
      <c r="L29" s="182"/>
      <c r="M29" s="182"/>
      <c r="N29" s="182"/>
      <c r="O29" s="182"/>
      <c r="P29" s="182"/>
      <c r="Q29" s="87"/>
      <c r="T29" s="849" t="s">
        <v>2312</v>
      </c>
      <c r="U29" s="56">
        <v>87774</v>
      </c>
      <c r="V29" s="56">
        <v>8950</v>
      </c>
      <c r="W29" s="56">
        <f t="shared" si="2"/>
        <v>96724</v>
      </c>
      <c r="Y29" s="183"/>
      <c r="Z29" s="184"/>
      <c r="AA29" s="184"/>
    </row>
    <row r="30" spans="3:27" ht="24.75" customHeight="1" x14ac:dyDescent="0.3">
      <c r="C30" s="495"/>
      <c r="D30" s="3557" t="s">
        <v>2889</v>
      </c>
      <c r="E30" s="3558"/>
      <c r="F30" s="3558"/>
      <c r="G30" s="3558"/>
      <c r="H30" s="3558"/>
      <c r="I30" s="3558"/>
      <c r="J30" s="3558"/>
      <c r="K30" s="3558"/>
      <c r="L30" s="3558"/>
      <c r="M30" s="3558"/>
      <c r="N30" s="3558"/>
      <c r="O30" s="3558"/>
      <c r="P30" s="3558"/>
      <c r="Q30" s="3559"/>
      <c r="T30" s="849" t="s">
        <v>2539</v>
      </c>
      <c r="U30" s="56">
        <v>93503</v>
      </c>
      <c r="V30" s="56">
        <v>9520</v>
      </c>
      <c r="W30" s="56">
        <f t="shared" si="2"/>
        <v>103023</v>
      </c>
      <c r="Y30" s="183"/>
      <c r="Z30" s="184"/>
      <c r="AA30" s="184"/>
    </row>
    <row r="31" spans="3:27" ht="20.25" customHeight="1" x14ac:dyDescent="0.3">
      <c r="C31" s="86"/>
      <c r="D31" s="3560"/>
      <c r="E31" s="3560"/>
      <c r="F31" s="3560"/>
      <c r="G31" s="3560"/>
      <c r="H31" s="3560"/>
      <c r="I31" s="3560"/>
      <c r="J31" s="3560"/>
      <c r="K31" s="3560"/>
      <c r="L31" s="3560"/>
      <c r="M31" s="3560"/>
      <c r="N31" s="3560"/>
      <c r="O31" s="3560"/>
      <c r="P31" s="3560"/>
      <c r="Q31" s="87"/>
      <c r="W31" s="4">
        <f>+W28-W27</f>
        <v>3229</v>
      </c>
    </row>
    <row r="32" spans="3:27" x14ac:dyDescent="0.3">
      <c r="C32" s="86"/>
      <c r="Q32" s="87"/>
    </row>
    <row r="33" spans="3:48" x14ac:dyDescent="0.3">
      <c r="C33" s="86"/>
      <c r="Q33" s="87"/>
    </row>
    <row r="34" spans="3:48" x14ac:dyDescent="0.3">
      <c r="C34" s="86"/>
      <c r="Q34" s="87"/>
    </row>
    <row r="35" spans="3:48" x14ac:dyDescent="0.3">
      <c r="C35" s="86"/>
      <c r="Q35" s="87"/>
      <c r="AJ35" s="1126"/>
      <c r="AK35" s="1126"/>
      <c r="AL35" s="1126"/>
      <c r="AM35" s="1126"/>
    </row>
    <row r="36" spans="3:48" x14ac:dyDescent="0.3">
      <c r="C36" s="86"/>
      <c r="Q36" s="87"/>
      <c r="AN36" s="1126"/>
      <c r="AO36" s="1126"/>
      <c r="AP36" s="1126"/>
      <c r="AQ36" s="1126"/>
      <c r="AR36" s="1126"/>
      <c r="AS36" s="1126"/>
      <c r="AT36" s="1126"/>
      <c r="AU36" s="1126"/>
      <c r="AV36" s="1126"/>
    </row>
    <row r="37" spans="3:48" ht="17.25" thickBot="1" x14ac:dyDescent="0.35">
      <c r="C37" s="86"/>
      <c r="Q37" s="87"/>
      <c r="AJ37" s="187"/>
      <c r="AK37" s="188"/>
      <c r="AL37" s="188"/>
      <c r="AM37" s="188"/>
    </row>
    <row r="38" spans="3:48" ht="42" customHeight="1" thickBot="1" x14ac:dyDescent="0.35">
      <c r="C38" s="86"/>
      <c r="Q38" s="87"/>
      <c r="T38" s="3543" t="s">
        <v>2472</v>
      </c>
      <c r="U38" s="3544"/>
      <c r="V38" s="3544"/>
      <c r="W38" s="3544"/>
      <c r="X38" s="3544"/>
      <c r="Y38" s="3544"/>
      <c r="Z38" s="3544"/>
      <c r="AA38" s="3544"/>
      <c r="AB38" s="3544"/>
      <c r="AC38" s="3544"/>
      <c r="AD38" s="3544"/>
      <c r="AE38" s="3544"/>
      <c r="AF38" s="3545"/>
      <c r="AJ38" s="48"/>
      <c r="AK38" s="190"/>
      <c r="AL38" s="190"/>
      <c r="AM38" s="190"/>
      <c r="AN38" s="188"/>
      <c r="AO38" s="188"/>
      <c r="AP38" s="188"/>
      <c r="AQ38" s="188"/>
      <c r="AR38" s="188"/>
      <c r="AS38" s="188"/>
      <c r="AT38" s="188"/>
      <c r="AU38" s="189"/>
      <c r="AV38" s="189"/>
    </row>
    <row r="39" spans="3:48" ht="17.25" thickBot="1" x14ac:dyDescent="0.35">
      <c r="C39" s="86"/>
      <c r="Q39" s="87"/>
      <c r="T39" s="45"/>
      <c r="U39" s="45"/>
      <c r="V39" s="45"/>
      <c r="W39" s="45"/>
      <c r="X39" s="45"/>
      <c r="Y39" s="45"/>
      <c r="Z39" s="45"/>
      <c r="AA39" s="45"/>
      <c r="AB39" s="45"/>
      <c r="AC39" s="45"/>
      <c r="AD39" s="45"/>
      <c r="AE39" s="45"/>
      <c r="AF39" s="45"/>
      <c r="AJ39" s="48"/>
      <c r="AK39" s="47"/>
      <c r="AL39" s="47"/>
      <c r="AM39" s="47"/>
      <c r="AN39" s="190"/>
      <c r="AO39" s="190"/>
      <c r="AP39" s="190"/>
      <c r="AQ39" s="190"/>
      <c r="AR39" s="190"/>
      <c r="AS39" s="190"/>
      <c r="AT39" s="190"/>
      <c r="AU39" s="191"/>
      <c r="AV39" s="191"/>
    </row>
    <row r="40" spans="3:48" ht="30" x14ac:dyDescent="0.3">
      <c r="C40" s="86"/>
      <c r="Q40" s="87"/>
      <c r="T40" s="185" t="s">
        <v>2313</v>
      </c>
      <c r="U40" s="186" t="s">
        <v>1633</v>
      </c>
      <c r="V40" s="186" t="s">
        <v>1634</v>
      </c>
      <c r="W40" s="186" t="s">
        <v>1635</v>
      </c>
      <c r="X40" s="186" t="s">
        <v>1636</v>
      </c>
      <c r="Y40" s="186" t="s">
        <v>1637</v>
      </c>
      <c r="Z40" s="186" t="s">
        <v>1638</v>
      </c>
      <c r="AA40" s="186" t="s">
        <v>1639</v>
      </c>
      <c r="AB40" s="186" t="s">
        <v>1640</v>
      </c>
      <c r="AC40" s="186" t="s">
        <v>1641</v>
      </c>
      <c r="AD40" s="186" t="s">
        <v>148</v>
      </c>
      <c r="AE40" s="186" t="s">
        <v>1642</v>
      </c>
      <c r="AF40" s="186" t="s">
        <v>133</v>
      </c>
      <c r="AJ40" s="194"/>
      <c r="AK40" s="47"/>
      <c r="AL40" s="47"/>
      <c r="AM40" s="47"/>
      <c r="AN40" s="47"/>
      <c r="AO40" s="47"/>
      <c r="AP40" s="47"/>
      <c r="AQ40" s="47"/>
      <c r="AR40" s="47"/>
      <c r="AS40" s="192"/>
      <c r="AT40" s="190"/>
      <c r="AU40" s="193"/>
      <c r="AV40" s="193"/>
    </row>
    <row r="41" spans="3:48" x14ac:dyDescent="0.3">
      <c r="C41" s="86"/>
      <c r="Q41" s="87"/>
      <c r="T41" s="2511" t="s">
        <v>1643</v>
      </c>
      <c r="U41" s="1211">
        <f>SUM(U42:U46)</f>
        <v>10812</v>
      </c>
      <c r="V41" s="1211">
        <f t="shared" ref="V41:AE41" si="3">SUM(V42:V46)</f>
        <v>5035</v>
      </c>
      <c r="W41" s="1211">
        <f t="shared" si="3"/>
        <v>341</v>
      </c>
      <c r="X41" s="1211">
        <f t="shared" si="3"/>
        <v>1417</v>
      </c>
      <c r="Y41" s="1211">
        <f t="shared" si="3"/>
        <v>213</v>
      </c>
      <c r="Z41" s="1211">
        <f t="shared" si="3"/>
        <v>771</v>
      </c>
      <c r="AA41" s="1211">
        <f t="shared" si="3"/>
        <v>269</v>
      </c>
      <c r="AB41" s="1211">
        <f t="shared" si="3"/>
        <v>101</v>
      </c>
      <c r="AC41" s="1211">
        <f t="shared" si="3"/>
        <v>8250</v>
      </c>
      <c r="AD41" s="1211">
        <f t="shared" si="3"/>
        <v>1715</v>
      </c>
      <c r="AE41" s="1211">
        <f t="shared" si="3"/>
        <v>74099.000000000015</v>
      </c>
      <c r="AF41" s="1211">
        <f>+SUM(U41:AE41)</f>
        <v>103023.00000000001</v>
      </c>
      <c r="AJ41" s="195"/>
      <c r="AK41" s="171"/>
      <c r="AL41" s="171"/>
      <c r="AM41" s="171"/>
      <c r="AN41" s="47"/>
      <c r="AO41" s="47"/>
      <c r="AP41" s="47"/>
      <c r="AQ41" s="47"/>
      <c r="AR41" s="47"/>
      <c r="AS41" s="47"/>
      <c r="AT41" s="190"/>
      <c r="AU41" s="47"/>
      <c r="AV41" s="193"/>
    </row>
    <row r="42" spans="3:48" x14ac:dyDescent="0.3">
      <c r="C42" s="86"/>
      <c r="Q42" s="87"/>
      <c r="T42" s="2512" t="s">
        <v>1099</v>
      </c>
      <c r="U42" s="2513">
        <v>3101</v>
      </c>
      <c r="V42" s="2513">
        <v>1395</v>
      </c>
      <c r="W42" s="2513">
        <v>42</v>
      </c>
      <c r="X42" s="2513">
        <v>352</v>
      </c>
      <c r="Y42" s="2513">
        <v>69</v>
      </c>
      <c r="Z42" s="2513">
        <v>223</v>
      </c>
      <c r="AA42" s="2513">
        <v>56</v>
      </c>
      <c r="AB42" s="2513">
        <v>30</v>
      </c>
      <c r="AC42" s="2513">
        <v>2426</v>
      </c>
      <c r="AD42" s="2513">
        <v>623</v>
      </c>
      <c r="AE42" s="2513">
        <v>16781</v>
      </c>
      <c r="AF42" s="2511">
        <f>+SUM(U42:AE42)</f>
        <v>25098</v>
      </c>
      <c r="AJ42" s="189"/>
      <c r="AK42" s="118"/>
      <c r="AL42" s="118"/>
      <c r="AM42" s="118"/>
      <c r="AN42" s="171"/>
      <c r="AO42" s="171"/>
      <c r="AP42" s="171"/>
      <c r="AQ42" s="171"/>
      <c r="AR42" s="171"/>
      <c r="AS42" s="171"/>
      <c r="AT42" s="171"/>
      <c r="AU42" s="118"/>
      <c r="AV42" s="196"/>
    </row>
    <row r="43" spans="3:48" ht="15.75" customHeight="1" x14ac:dyDescent="0.3">
      <c r="C43" s="86"/>
      <c r="Q43" s="87"/>
      <c r="T43" s="2514" t="s">
        <v>1112</v>
      </c>
      <c r="U43" s="2515">
        <v>4842</v>
      </c>
      <c r="V43" s="2515">
        <v>2312</v>
      </c>
      <c r="W43" s="2515">
        <v>239</v>
      </c>
      <c r="X43" s="2515">
        <v>765</v>
      </c>
      <c r="Y43" s="2515">
        <v>116</v>
      </c>
      <c r="Z43" s="2515">
        <v>377</v>
      </c>
      <c r="AA43" s="2515">
        <v>149</v>
      </c>
      <c r="AB43" s="2515">
        <v>57</v>
      </c>
      <c r="AC43" s="2515">
        <v>3439</v>
      </c>
      <c r="AD43" s="2515">
        <v>1031</v>
      </c>
      <c r="AE43" s="2515">
        <v>29491</v>
      </c>
      <c r="AF43" s="2511">
        <f>+SUM(U43:AE43)</f>
        <v>42818</v>
      </c>
      <c r="AN43" s="118"/>
      <c r="AO43" s="118"/>
      <c r="AP43" s="118"/>
      <c r="AQ43" s="118"/>
      <c r="AR43" s="118"/>
      <c r="AS43" s="118"/>
      <c r="AT43" s="118"/>
      <c r="AU43" s="118"/>
      <c r="AV43" s="193"/>
    </row>
    <row r="44" spans="3:48" x14ac:dyDescent="0.3">
      <c r="C44" s="86"/>
      <c r="Q44" s="87"/>
      <c r="T44" s="2514" t="s">
        <v>1098</v>
      </c>
      <c r="U44" s="2515">
        <v>2814</v>
      </c>
      <c r="V44" s="2515">
        <v>1306</v>
      </c>
      <c r="W44" s="2515">
        <v>60</v>
      </c>
      <c r="X44" s="2515">
        <v>299</v>
      </c>
      <c r="Y44" s="2515">
        <v>28</v>
      </c>
      <c r="Z44" s="2515">
        <v>170</v>
      </c>
      <c r="AA44" s="2515">
        <v>64</v>
      </c>
      <c r="AB44" s="2515">
        <v>14</v>
      </c>
      <c r="AC44" s="2515">
        <v>2346</v>
      </c>
      <c r="AD44" s="2515">
        <v>59</v>
      </c>
      <c r="AE44" s="2515">
        <v>18163</v>
      </c>
      <c r="AF44" s="2511">
        <f>+SUM(U44:AE44)</f>
        <v>25323</v>
      </c>
    </row>
    <row r="45" spans="3:48" x14ac:dyDescent="0.3">
      <c r="C45" s="86"/>
      <c r="Q45" s="87"/>
      <c r="T45" s="2516" t="s">
        <v>1101</v>
      </c>
      <c r="U45" s="1167">
        <v>55</v>
      </c>
      <c r="V45" s="1167">
        <v>22</v>
      </c>
      <c r="W45" s="1167"/>
      <c r="X45" s="1167">
        <v>1</v>
      </c>
      <c r="Y45" s="1167"/>
      <c r="Z45" s="1167">
        <v>1</v>
      </c>
      <c r="AA45" s="1167"/>
      <c r="AB45" s="1167"/>
      <c r="AC45" s="1167">
        <v>39</v>
      </c>
      <c r="AD45" s="1167">
        <v>2</v>
      </c>
      <c r="AE45" s="1167">
        <v>131</v>
      </c>
      <c r="AF45" s="2511">
        <f>+SUM(U45:AE45)</f>
        <v>251</v>
      </c>
    </row>
    <row r="46" spans="3:48" x14ac:dyDescent="0.3">
      <c r="C46" s="86"/>
      <c r="Q46" s="87"/>
      <c r="T46" s="2517" t="s">
        <v>1149</v>
      </c>
      <c r="U46" s="2518"/>
      <c r="V46" s="2518"/>
      <c r="W46" s="2518"/>
      <c r="X46" s="2518"/>
      <c r="Y46" s="2518"/>
      <c r="Z46" s="2518"/>
      <c r="AA46" s="2518"/>
      <c r="AB46" s="2518"/>
      <c r="AC46" s="2518"/>
      <c r="AD46" s="2518"/>
      <c r="AE46" s="2515">
        <v>9533.0000000000146</v>
      </c>
      <c r="AF46" s="2511">
        <v>9259</v>
      </c>
    </row>
    <row r="47" spans="3:48" x14ac:dyDescent="0.3">
      <c r="C47" s="86"/>
      <c r="Q47" s="87"/>
      <c r="T47" s="1213"/>
      <c r="U47" s="1213"/>
      <c r="V47" s="1213"/>
      <c r="W47" s="1213"/>
      <c r="X47" s="1213"/>
      <c r="Y47" s="1213"/>
      <c r="Z47" s="1213"/>
      <c r="AA47" s="1213"/>
      <c r="AB47" s="1213"/>
      <c r="AC47" s="1213"/>
      <c r="AD47" s="1213"/>
      <c r="AE47" s="1213"/>
      <c r="AF47" s="1213"/>
    </row>
    <row r="48" spans="3:48" x14ac:dyDescent="0.3">
      <c r="C48" s="86"/>
      <c r="Q48" s="87"/>
      <c r="T48" s="1213"/>
      <c r="U48" s="1213"/>
      <c r="V48" s="1213"/>
      <c r="W48" s="1213"/>
      <c r="X48" s="1213"/>
      <c r="Y48" s="1213"/>
      <c r="Z48" s="1213"/>
      <c r="AA48" s="1213"/>
      <c r="AB48" s="1213"/>
      <c r="AC48" s="1213"/>
      <c r="AD48" s="1213"/>
      <c r="AE48" s="1213"/>
      <c r="AF48" s="1213"/>
    </row>
    <row r="49" spans="3:32" x14ac:dyDescent="0.3">
      <c r="C49" s="86"/>
      <c r="Q49" s="87"/>
      <c r="T49" s="1213"/>
      <c r="U49" s="1213"/>
      <c r="V49" s="1213"/>
      <c r="W49" s="1213"/>
      <c r="X49" s="1213"/>
      <c r="Y49" s="1213"/>
      <c r="Z49" s="1213"/>
      <c r="AA49" s="1213"/>
      <c r="AB49" s="1213"/>
      <c r="AC49" s="1213"/>
      <c r="AD49" s="1213"/>
      <c r="AE49" s="1213"/>
      <c r="AF49" s="1213"/>
    </row>
    <row r="50" spans="3:32" x14ac:dyDescent="0.3">
      <c r="C50" s="86"/>
      <c r="Q50" s="87"/>
    </row>
    <row r="51" spans="3:32" x14ac:dyDescent="0.3">
      <c r="C51" s="86"/>
      <c r="Q51" s="87"/>
    </row>
    <row r="52" spans="3:32" x14ac:dyDescent="0.3">
      <c r="C52" s="86"/>
      <c r="Q52" s="87"/>
    </row>
    <row r="53" spans="3:32" ht="15.75" customHeight="1" x14ac:dyDescent="0.3">
      <c r="C53" s="86"/>
      <c r="Q53" s="87"/>
      <c r="T53" s="193"/>
      <c r="U53" s="193"/>
      <c r="V53" s="193"/>
      <c r="W53" s="197"/>
      <c r="X53" s="197"/>
      <c r="Y53" s="197"/>
      <c r="Z53" s="197"/>
      <c r="AA53" s="197"/>
      <c r="AB53" s="197"/>
      <c r="AC53" s="193"/>
      <c r="AD53" s="193"/>
      <c r="AE53" s="193"/>
    </row>
    <row r="54" spans="3:32" ht="139.5" customHeight="1" thickBot="1" x14ac:dyDescent="0.35">
      <c r="C54" s="496"/>
      <c r="D54" s="3546" t="s">
        <v>1644</v>
      </c>
      <c r="E54" s="3546"/>
      <c r="F54" s="3546"/>
      <c r="G54" s="3546"/>
      <c r="H54" s="3546"/>
      <c r="I54" s="3546"/>
      <c r="J54" s="3546"/>
      <c r="K54" s="3546"/>
      <c r="L54" s="3546"/>
      <c r="M54" s="3546"/>
      <c r="N54" s="3546"/>
      <c r="O54" s="3546"/>
      <c r="P54" s="3546"/>
      <c r="Q54" s="3547"/>
      <c r="T54" s="193"/>
      <c r="U54" s="193"/>
      <c r="V54" s="193"/>
      <c r="W54" s="193"/>
      <c r="X54" s="193"/>
      <c r="Y54" s="193"/>
      <c r="Z54" s="193"/>
      <c r="AA54" s="193"/>
      <c r="AB54" s="193"/>
      <c r="AC54" s="193"/>
      <c r="AD54" s="193"/>
      <c r="AE54" s="193"/>
    </row>
    <row r="55" spans="3:32" ht="18.75" customHeight="1" x14ac:dyDescent="0.3">
      <c r="D55" s="198"/>
      <c r="E55" s="198"/>
      <c r="F55" s="198"/>
      <c r="G55" s="198"/>
      <c r="H55" s="198"/>
      <c r="I55" s="198"/>
      <c r="J55" s="198"/>
      <c r="K55" s="198"/>
      <c r="L55" s="198"/>
      <c r="M55" s="198"/>
      <c r="N55" s="198"/>
      <c r="O55" s="198"/>
      <c r="P55" s="198"/>
      <c r="T55" s="193"/>
      <c r="U55" s="193"/>
      <c r="V55" s="193"/>
      <c r="W55" s="193"/>
      <c r="X55" s="193"/>
      <c r="Y55" s="193"/>
      <c r="Z55" s="193"/>
      <c r="AA55" s="193"/>
      <c r="AB55" s="193"/>
      <c r="AC55" s="193"/>
      <c r="AD55" s="193"/>
      <c r="AE55" s="193"/>
    </row>
    <row r="56" spans="3:32" ht="18.75" customHeight="1" x14ac:dyDescent="0.3">
      <c r="D56" s="198"/>
      <c r="E56" s="198"/>
      <c r="F56" s="198"/>
      <c r="G56" s="198"/>
      <c r="H56" s="198"/>
      <c r="I56" s="198"/>
      <c r="J56" s="198"/>
      <c r="K56" s="198"/>
      <c r="L56" s="198"/>
      <c r="M56" s="198"/>
      <c r="N56" s="3548"/>
      <c r="O56" s="3548"/>
      <c r="P56" s="3548"/>
      <c r="T56" s="171"/>
      <c r="U56" s="171"/>
      <c r="V56" s="171"/>
      <c r="W56" s="171"/>
      <c r="X56" s="171"/>
      <c r="Y56" s="171"/>
      <c r="Z56" s="171"/>
      <c r="AA56" s="171"/>
      <c r="AB56" s="171"/>
      <c r="AC56" s="171"/>
      <c r="AD56" s="171"/>
      <c r="AE56" s="171"/>
    </row>
    <row r="64" spans="3:32" ht="1.5" customHeight="1" x14ac:dyDescent="0.3"/>
  </sheetData>
  <mergeCells count="9">
    <mergeCell ref="T38:AF38"/>
    <mergeCell ref="D54:Q54"/>
    <mergeCell ref="N56:P56"/>
    <mergeCell ref="D2:Q2"/>
    <mergeCell ref="D3:P3"/>
    <mergeCell ref="D24:Q26"/>
    <mergeCell ref="D27:P27"/>
    <mergeCell ref="D30:Q30"/>
    <mergeCell ref="D31:P31"/>
  </mergeCells>
  <pageMargins left="0.70866141732283472" right="0.70866141732283472" top="0.74803149606299213" bottom="0.74803149606299213" header="0.31496062992125984" footer="0.31496062992125984"/>
  <pageSetup paperSize="9" scale="25" orientation="portrait" r:id="rId1"/>
  <drawing r:id="rId2"/>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184C37-8E35-4C18-87B0-75476B5C7672}">
  <sheetPr>
    <tabColor theme="0"/>
    <pageSetUpPr fitToPage="1"/>
  </sheetPr>
  <dimension ref="B1:M64"/>
  <sheetViews>
    <sheetView view="pageLayout" topLeftCell="A6" zoomScale="70" zoomScaleNormal="100" zoomScalePageLayoutView="70" workbookViewId="0">
      <selection activeCell="B81" sqref="B81"/>
    </sheetView>
  </sheetViews>
  <sheetFormatPr defaultColWidth="9.140625" defaultRowHeight="16.5" x14ac:dyDescent="0.3"/>
  <cols>
    <col min="1" max="1" width="4.42578125" style="4" customWidth="1"/>
    <col min="2" max="2" width="2.7109375" style="4" customWidth="1"/>
    <col min="3" max="4" width="9.140625" style="4"/>
    <col min="5" max="5" width="29.7109375" style="4" customWidth="1"/>
    <col min="6" max="8" width="9.140625" style="4"/>
    <col min="9" max="9" width="14.28515625" style="4" customWidth="1"/>
    <col min="10" max="12" width="9.140625" style="4"/>
    <col min="13" max="13" width="12" style="4" customWidth="1"/>
    <col min="14" max="14" width="3.42578125" style="4" customWidth="1"/>
    <col min="15" max="16384" width="9.140625" style="4"/>
  </cols>
  <sheetData>
    <row r="1" spans="2:13" ht="17.25" thickBot="1" x14ac:dyDescent="0.35"/>
    <row r="2" spans="2:13" ht="23.25" x14ac:dyDescent="0.3">
      <c r="C2" s="3563" t="s">
        <v>2559</v>
      </c>
      <c r="D2" s="3564"/>
      <c r="E2" s="3564"/>
      <c r="F2" s="3564"/>
      <c r="G2" s="3564"/>
      <c r="H2" s="3564"/>
      <c r="I2" s="3564"/>
      <c r="J2" s="3564"/>
      <c r="K2" s="3564"/>
      <c r="L2" s="3564"/>
      <c r="M2" s="3565"/>
    </row>
    <row r="3" spans="2:13" ht="17.25" x14ac:dyDescent="0.3">
      <c r="C3" s="3566"/>
      <c r="D3" s="3567"/>
      <c r="E3" s="3567"/>
      <c r="F3" s="3567"/>
      <c r="G3" s="3567"/>
      <c r="H3" s="3567"/>
      <c r="I3" s="3567"/>
      <c r="J3" s="3567"/>
      <c r="K3" s="3567"/>
      <c r="L3" s="3567"/>
      <c r="M3" s="3568"/>
    </row>
    <row r="4" spans="2:13" ht="24.75" customHeight="1" x14ac:dyDescent="0.3">
      <c r="C4" s="3569" t="s">
        <v>4</v>
      </c>
      <c r="D4" s="3510"/>
      <c r="E4" s="3510"/>
      <c r="F4" s="1216" t="s">
        <v>1112</v>
      </c>
      <c r="G4" s="1216" t="s">
        <v>1098</v>
      </c>
      <c r="H4" s="1216" t="s">
        <v>1099</v>
      </c>
      <c r="I4" s="1633" t="s">
        <v>2611</v>
      </c>
      <c r="J4" s="1244" t="s">
        <v>2473</v>
      </c>
      <c r="K4" s="1216" t="s">
        <v>1645</v>
      </c>
      <c r="L4" s="1216" t="s">
        <v>148</v>
      </c>
      <c r="M4" s="1245" t="s">
        <v>133</v>
      </c>
    </row>
    <row r="5" spans="2:13" x14ac:dyDescent="0.3">
      <c r="C5" s="3561" t="s">
        <v>2474</v>
      </c>
      <c r="D5" s="3562"/>
      <c r="E5" s="3562"/>
      <c r="F5" s="1074">
        <v>124</v>
      </c>
      <c r="G5" s="1074">
        <v>81</v>
      </c>
      <c r="H5" s="1074">
        <v>80</v>
      </c>
      <c r="I5" s="1074">
        <v>18</v>
      </c>
      <c r="J5" s="1074">
        <v>3</v>
      </c>
      <c r="K5" s="1074"/>
      <c r="L5" s="1074">
        <v>7</v>
      </c>
      <c r="M5" s="1128">
        <f>SUM(F5:L5)</f>
        <v>313</v>
      </c>
    </row>
    <row r="6" spans="2:13" x14ac:dyDescent="0.3">
      <c r="C6" s="3561" t="s">
        <v>2475</v>
      </c>
      <c r="D6" s="3562"/>
      <c r="E6" s="3562"/>
      <c r="F6" s="1074">
        <v>130</v>
      </c>
      <c r="G6" s="1074">
        <v>81</v>
      </c>
      <c r="H6" s="1074">
        <v>59</v>
      </c>
      <c r="I6" s="1074">
        <v>35</v>
      </c>
      <c r="J6" s="1074"/>
      <c r="K6" s="1074"/>
      <c r="L6" s="1074">
        <v>7</v>
      </c>
      <c r="M6" s="1128">
        <f t="shared" ref="M6:M12" si="0">SUM(F6:L6)</f>
        <v>312</v>
      </c>
    </row>
    <row r="7" spans="2:13" ht="24.75" customHeight="1" x14ac:dyDescent="0.3">
      <c r="C7" s="3561" t="s">
        <v>2476</v>
      </c>
      <c r="D7" s="3562"/>
      <c r="E7" s="3562"/>
      <c r="F7" s="1247">
        <v>42818</v>
      </c>
      <c r="G7" s="1247">
        <v>25323</v>
      </c>
      <c r="H7" s="1247">
        <v>25098</v>
      </c>
      <c r="I7" s="1247">
        <v>2199</v>
      </c>
      <c r="J7" s="1247">
        <v>6967</v>
      </c>
      <c r="K7" s="1074">
        <v>344</v>
      </c>
      <c r="L7" s="1074">
        <v>274</v>
      </c>
      <c r="M7" s="1248">
        <f>SUM(F7:L7)</f>
        <v>103023</v>
      </c>
    </row>
    <row r="8" spans="2:13" ht="24.75" customHeight="1" x14ac:dyDescent="0.3">
      <c r="C8" s="3561" t="s">
        <v>2477</v>
      </c>
      <c r="D8" s="3562"/>
      <c r="E8" s="3562"/>
      <c r="F8" s="1247">
        <v>13949</v>
      </c>
      <c r="G8" s="1247">
        <v>6754</v>
      </c>
      <c r="H8" s="1247">
        <v>6394</v>
      </c>
      <c r="I8" s="1074">
        <v>130</v>
      </c>
      <c r="J8" s="1247">
        <v>2145</v>
      </c>
      <c r="K8" s="1074">
        <v>87</v>
      </c>
      <c r="L8" s="1074">
        <v>76</v>
      </c>
      <c r="M8" s="1248">
        <f>SUM(F8:L8)</f>
        <v>29535</v>
      </c>
    </row>
    <row r="9" spans="2:13" ht="22.5" customHeight="1" x14ac:dyDescent="0.3">
      <c r="C9" s="3561" t="s">
        <v>2478</v>
      </c>
      <c r="D9" s="3562"/>
      <c r="E9" s="3562"/>
      <c r="F9" s="1247">
        <v>3830</v>
      </c>
      <c r="G9" s="1074">
        <v>927</v>
      </c>
      <c r="H9" s="1247">
        <v>1638</v>
      </c>
      <c r="I9" s="1074"/>
      <c r="J9" s="1074"/>
      <c r="K9" s="1074"/>
      <c r="L9" s="1074"/>
      <c r="M9" s="1248">
        <f t="shared" si="0"/>
        <v>6395</v>
      </c>
    </row>
    <row r="10" spans="2:13" ht="25.5" customHeight="1" x14ac:dyDescent="0.3">
      <c r="C10" s="3573" t="s">
        <v>2754</v>
      </c>
      <c r="D10" s="3574"/>
      <c r="E10" s="3574"/>
      <c r="F10" s="1247">
        <v>12940</v>
      </c>
      <c r="G10" s="1247">
        <v>6278</v>
      </c>
      <c r="H10" s="1247">
        <v>6389</v>
      </c>
      <c r="I10" s="1074"/>
      <c r="J10" s="1074"/>
      <c r="K10" s="1074"/>
      <c r="L10" s="1074"/>
      <c r="M10" s="1248">
        <f t="shared" si="0"/>
        <v>25607</v>
      </c>
    </row>
    <row r="11" spans="2:13" ht="26.25" customHeight="1" x14ac:dyDescent="0.3">
      <c r="C11" s="3573" t="s">
        <v>2755</v>
      </c>
      <c r="D11" s="3574"/>
      <c r="E11" s="3574"/>
      <c r="F11" s="1074">
        <v>101</v>
      </c>
      <c r="G11" s="1074">
        <v>56</v>
      </c>
      <c r="H11" s="1074">
        <v>55</v>
      </c>
      <c r="I11" s="1074"/>
      <c r="J11" s="1074"/>
      <c r="K11" s="1074"/>
      <c r="L11" s="1074">
        <v>2</v>
      </c>
      <c r="M11" s="1248">
        <f t="shared" si="0"/>
        <v>214</v>
      </c>
    </row>
    <row r="12" spans="2:13" ht="26.25" customHeight="1" x14ac:dyDescent="0.3">
      <c r="C12" s="3573" t="s">
        <v>2756</v>
      </c>
      <c r="D12" s="3574"/>
      <c r="E12" s="3574"/>
      <c r="F12" s="1247">
        <v>11063</v>
      </c>
      <c r="G12" s="1247">
        <v>5310</v>
      </c>
      <c r="H12" s="1247">
        <v>6485</v>
      </c>
      <c r="I12" s="1074"/>
      <c r="J12" s="1074"/>
      <c r="K12" s="1074"/>
      <c r="L12" s="1074">
        <v>180</v>
      </c>
      <c r="M12" s="1248">
        <f t="shared" si="0"/>
        <v>23038</v>
      </c>
    </row>
    <row r="13" spans="2:13" ht="33.75" customHeight="1" x14ac:dyDescent="0.3">
      <c r="C13" s="3573" t="s">
        <v>2757</v>
      </c>
      <c r="D13" s="3574"/>
      <c r="E13" s="3574"/>
      <c r="F13" s="1747">
        <v>15.7</v>
      </c>
      <c r="G13" s="1747">
        <v>8.6</v>
      </c>
      <c r="H13" s="1747">
        <v>9.1</v>
      </c>
      <c r="I13" s="1074"/>
      <c r="J13" s="1074"/>
      <c r="K13" s="1074"/>
      <c r="L13" s="1074"/>
      <c r="M13" s="1748">
        <f>+F13+G13+H13</f>
        <v>33.4</v>
      </c>
    </row>
    <row r="14" spans="2:13" ht="60.75" customHeight="1" thickBot="1" x14ac:dyDescent="0.35">
      <c r="C14" s="3570" t="s">
        <v>2758</v>
      </c>
      <c r="D14" s="3571"/>
      <c r="E14" s="3571"/>
      <c r="F14" s="3571"/>
      <c r="G14" s="3571"/>
      <c r="H14" s="3571"/>
      <c r="I14" s="3571"/>
      <c r="J14" s="3571"/>
      <c r="K14" s="3571"/>
      <c r="L14" s="3571"/>
      <c r="M14" s="3572"/>
    </row>
    <row r="15" spans="2:13" ht="76.5" customHeight="1" x14ac:dyDescent="0.3">
      <c r="B15" s="1454"/>
    </row>
    <row r="64" ht="1.5" customHeight="1" x14ac:dyDescent="0.3"/>
  </sheetData>
  <mergeCells count="13">
    <mergeCell ref="C14:M14"/>
    <mergeCell ref="C8:E8"/>
    <mergeCell ref="C9:E9"/>
    <mergeCell ref="C10:E10"/>
    <mergeCell ref="C11:E11"/>
    <mergeCell ref="C12:E12"/>
    <mergeCell ref="C13:E13"/>
    <mergeCell ref="C7:E7"/>
    <mergeCell ref="C2:M2"/>
    <mergeCell ref="C3:M3"/>
    <mergeCell ref="C4:E4"/>
    <mergeCell ref="C5:E5"/>
    <mergeCell ref="C6:E6"/>
  </mergeCells>
  <pageMargins left="0.70866141732283472" right="0.70866141732283472" top="0.74803149606299213" bottom="0.74803149606299213" header="0.31496062992125984" footer="0.31496062992125984"/>
  <pageSetup paperSize="9" scale="65" orientation="portrait" horizontalDpi="300" verticalDpi="300" r:id="rId1"/>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A47E6F-092B-413F-BBE4-A5834E1F37EB}">
  <sheetPr>
    <tabColor theme="0"/>
    <pageSetUpPr fitToPage="1"/>
  </sheetPr>
  <dimension ref="A2:Y106"/>
  <sheetViews>
    <sheetView showGridLines="0" view="pageLayout" topLeftCell="C1" zoomScale="70" zoomScaleNormal="80" zoomScalePageLayoutView="70" workbookViewId="0">
      <selection activeCell="H82" sqref="H82:X104"/>
    </sheetView>
  </sheetViews>
  <sheetFormatPr defaultColWidth="9.140625" defaultRowHeight="16.5" x14ac:dyDescent="0.3"/>
  <cols>
    <col min="1" max="1" width="15.42578125" style="4" hidden="1" customWidth="1"/>
    <col min="2" max="2" width="2" style="4" hidden="1" customWidth="1"/>
    <col min="3" max="3" width="37.85546875" style="4" customWidth="1"/>
    <col min="4" max="4" width="9.5703125" style="51" hidden="1" customWidth="1"/>
    <col min="5" max="5" width="9.7109375" style="51" hidden="1" customWidth="1"/>
    <col min="6" max="6" width="10" style="51" hidden="1" customWidth="1"/>
    <col min="7" max="7" width="9.5703125" style="51" bestFit="1" customWidth="1"/>
    <col min="8" max="8" width="8.85546875" style="51" bestFit="1" customWidth="1"/>
    <col min="9" max="9" width="10" style="51" bestFit="1" customWidth="1"/>
    <col min="10" max="10" width="9.5703125" style="51" bestFit="1" customWidth="1"/>
    <col min="11" max="11" width="8.5703125" style="51" bestFit="1" customWidth="1"/>
    <col min="12" max="12" width="10.28515625" style="51" bestFit="1" customWidth="1"/>
    <col min="13" max="13" width="10" style="51" bestFit="1" customWidth="1"/>
    <col min="14" max="14" width="8.5703125" style="51" bestFit="1" customWidth="1"/>
    <col min="15" max="15" width="10.28515625" style="51" bestFit="1" customWidth="1"/>
    <col min="16" max="18" width="10.28515625" style="51" customWidth="1"/>
    <col min="19" max="19" width="10" style="51" bestFit="1" customWidth="1"/>
    <col min="20" max="20" width="9.28515625" style="51" bestFit="1" customWidth="1"/>
    <col min="21" max="21" width="10.28515625" style="51" bestFit="1" customWidth="1"/>
    <col min="22" max="22" width="10.140625" style="51" hidden="1" customWidth="1"/>
    <col min="23" max="25" width="11.5703125" style="51" customWidth="1"/>
    <col min="26" max="16384" width="9.140625" style="4"/>
  </cols>
  <sheetData>
    <row r="2" spans="2:25" ht="17.25" thickBot="1" x14ac:dyDescent="0.35"/>
    <row r="3" spans="2:25" ht="24.75" customHeight="1" x14ac:dyDescent="0.3">
      <c r="C3" s="3579" t="s">
        <v>1646</v>
      </c>
      <c r="D3" s="3580"/>
      <c r="E3" s="3580"/>
      <c r="F3" s="3580"/>
      <c r="G3" s="3580"/>
      <c r="H3" s="3580"/>
      <c r="I3" s="3580"/>
      <c r="J3" s="3580"/>
      <c r="K3" s="3580"/>
      <c r="L3" s="3580"/>
      <c r="M3" s="3580"/>
      <c r="N3" s="3580"/>
      <c r="O3" s="3580"/>
      <c r="P3" s="3580"/>
      <c r="Q3" s="3580"/>
      <c r="R3" s="3580"/>
      <c r="S3" s="3580"/>
      <c r="T3" s="3580"/>
      <c r="U3" s="3581"/>
      <c r="V3" s="810"/>
      <c r="W3" s="200"/>
      <c r="X3" s="200"/>
      <c r="Y3" s="200"/>
    </row>
    <row r="4" spans="2:25" ht="15.75" customHeight="1" x14ac:dyDescent="0.3">
      <c r="C4" s="3598" t="s">
        <v>1647</v>
      </c>
      <c r="D4" s="3599"/>
      <c r="E4" s="3599"/>
      <c r="F4" s="3599"/>
      <c r="G4" s="3599"/>
      <c r="H4" s="3599"/>
      <c r="I4" s="3599"/>
      <c r="J4" s="3599"/>
      <c r="K4" s="3599"/>
      <c r="L4" s="3599"/>
      <c r="M4" s="3599"/>
      <c r="N4" s="3599"/>
      <c r="O4" s="3599"/>
      <c r="P4" s="3599"/>
      <c r="Q4" s="3599"/>
      <c r="R4" s="3599"/>
      <c r="S4" s="3599"/>
      <c r="T4" s="3599"/>
      <c r="U4" s="3600"/>
      <c r="V4" s="201"/>
      <c r="W4" s="202"/>
      <c r="X4" s="202"/>
      <c r="Y4" s="202"/>
    </row>
    <row r="5" spans="2:25" ht="33" customHeight="1" x14ac:dyDescent="0.3">
      <c r="C5" s="3601" t="s">
        <v>1649</v>
      </c>
      <c r="D5" s="3602" t="s">
        <v>9</v>
      </c>
      <c r="E5" s="3603"/>
      <c r="F5" s="3604"/>
      <c r="G5" s="3602" t="s">
        <v>77</v>
      </c>
      <c r="H5" s="3603"/>
      <c r="I5" s="3604"/>
      <c r="J5" s="3602" t="s">
        <v>11</v>
      </c>
      <c r="K5" s="3603"/>
      <c r="L5" s="3604"/>
      <c r="M5" s="3605" t="s">
        <v>382</v>
      </c>
      <c r="N5" s="3605"/>
      <c r="O5" s="3605"/>
      <c r="P5" s="3606" t="s">
        <v>2384</v>
      </c>
      <c r="Q5" s="3606"/>
      <c r="R5" s="3607"/>
      <c r="S5" s="3606" t="s">
        <v>2536</v>
      </c>
      <c r="T5" s="3606"/>
      <c r="U5" s="3607"/>
      <c r="V5" s="201"/>
      <c r="W5" s="203"/>
      <c r="X5" s="203"/>
      <c r="Y5" s="203"/>
    </row>
    <row r="6" spans="2:25" ht="55.5" customHeight="1" x14ac:dyDescent="0.3">
      <c r="C6" s="3601"/>
      <c r="D6" s="809" t="s">
        <v>1648</v>
      </c>
      <c r="E6" s="809" t="s">
        <v>1149</v>
      </c>
      <c r="F6" s="809" t="s">
        <v>133</v>
      </c>
      <c r="G6" s="809" t="s">
        <v>1650</v>
      </c>
      <c r="H6" s="809" t="s">
        <v>1149</v>
      </c>
      <c r="I6" s="809" t="s">
        <v>133</v>
      </c>
      <c r="J6" s="809" t="s">
        <v>1650</v>
      </c>
      <c r="K6" s="809" t="s">
        <v>1149</v>
      </c>
      <c r="L6" s="809" t="s">
        <v>133</v>
      </c>
      <c r="M6" s="809" t="s">
        <v>1650</v>
      </c>
      <c r="N6" s="809" t="s">
        <v>1149</v>
      </c>
      <c r="O6" s="809" t="s">
        <v>133</v>
      </c>
      <c r="P6" s="809" t="s">
        <v>1650</v>
      </c>
      <c r="Q6" s="809" t="s">
        <v>1149</v>
      </c>
      <c r="R6" s="1249" t="s">
        <v>133</v>
      </c>
      <c r="S6" s="809" t="s">
        <v>1650</v>
      </c>
      <c r="T6" s="809" t="s">
        <v>1149</v>
      </c>
      <c r="U6" s="1249" t="s">
        <v>133</v>
      </c>
      <c r="V6" s="201"/>
      <c r="W6" s="199"/>
      <c r="X6" s="199"/>
      <c r="Y6" s="199"/>
    </row>
    <row r="7" spans="2:25" x14ac:dyDescent="0.3">
      <c r="C7" s="811" t="s">
        <v>1651</v>
      </c>
      <c r="D7" s="806">
        <v>27494.251735406688</v>
      </c>
      <c r="E7" s="806">
        <v>64.174642999999989</v>
      </c>
      <c r="F7" s="807">
        <f>+D7+E7</f>
        <v>27558.426378406686</v>
      </c>
      <c r="G7" s="806">
        <v>28253.42407379151</v>
      </c>
      <c r="H7" s="806">
        <v>6.4132999999999996E-2</v>
      </c>
      <c r="I7" s="807">
        <v>28253.48820679151</v>
      </c>
      <c r="J7" s="806">
        <v>28503.752327937906</v>
      </c>
      <c r="K7" s="806">
        <v>7.9537999999999998E-2</v>
      </c>
      <c r="L7" s="807">
        <v>28503.831865937907</v>
      </c>
      <c r="M7" s="806">
        <v>29649.514520632132</v>
      </c>
      <c r="N7" s="806">
        <v>14.096088</v>
      </c>
      <c r="O7" s="807">
        <v>29663.610608632131</v>
      </c>
      <c r="P7" s="806">
        <v>31190.38296760885</v>
      </c>
      <c r="Q7" s="806">
        <v>137.79530400000002</v>
      </c>
      <c r="R7" s="1250">
        <v>31328.178271608849</v>
      </c>
      <c r="S7" s="2508">
        <v>32952.699999999997</v>
      </c>
      <c r="T7" s="2508">
        <v>216.8</v>
      </c>
      <c r="U7" s="2509">
        <v>33169.5</v>
      </c>
      <c r="V7" s="201"/>
      <c r="W7" s="1303"/>
      <c r="X7" s="1305"/>
      <c r="Y7" s="204"/>
    </row>
    <row r="8" spans="2:25" x14ac:dyDescent="0.3">
      <c r="C8" s="812" t="s">
        <v>1045</v>
      </c>
      <c r="D8" s="806">
        <v>25167.906792009413</v>
      </c>
      <c r="E8" s="806">
        <v>2801.0869184410303</v>
      </c>
      <c r="F8" s="807">
        <f t="shared" ref="F8:F18" si="0">+D8+E8</f>
        <v>27968.993710450442</v>
      </c>
      <c r="G8" s="806">
        <v>27905.186667275157</v>
      </c>
      <c r="H8" s="806">
        <v>2943.7704058686904</v>
      </c>
      <c r="I8" s="807">
        <v>30848.957073143847</v>
      </c>
      <c r="J8" s="806">
        <v>32630.93884909965</v>
      </c>
      <c r="K8" s="806">
        <v>2345.4251321098491</v>
      </c>
      <c r="L8" s="807">
        <v>34976.363981209499</v>
      </c>
      <c r="M8" s="806">
        <v>34152.101554887035</v>
      </c>
      <c r="N8" s="806">
        <v>3067.2608572810809</v>
      </c>
      <c r="O8" s="807">
        <v>37219.362412168113</v>
      </c>
      <c r="P8" s="806">
        <v>36334.165704150138</v>
      </c>
      <c r="Q8" s="806">
        <v>3670.371422787578</v>
      </c>
      <c r="R8" s="1250">
        <v>40004.537126937714</v>
      </c>
      <c r="S8" s="2508">
        <v>38282.6</v>
      </c>
      <c r="T8" s="2508">
        <v>4303.5</v>
      </c>
      <c r="U8" s="2509">
        <v>42586.1</v>
      </c>
      <c r="V8" s="201"/>
      <c r="W8" s="1305"/>
      <c r="X8" s="1305"/>
      <c r="Y8" s="204"/>
    </row>
    <row r="9" spans="2:25" x14ac:dyDescent="0.3">
      <c r="C9" s="812" t="s">
        <v>1652</v>
      </c>
      <c r="D9" s="806">
        <v>6049.5229193535451</v>
      </c>
      <c r="E9" s="806">
        <v>8050.8325329999989</v>
      </c>
      <c r="F9" s="807">
        <f t="shared" si="0"/>
        <v>14100.355452353544</v>
      </c>
      <c r="G9" s="806">
        <v>6425.9690799799992</v>
      </c>
      <c r="H9" s="806">
        <v>6819.6218440000002</v>
      </c>
      <c r="I9" s="807">
        <v>13245.590923979998</v>
      </c>
      <c r="J9" s="806">
        <v>5427.731712787996</v>
      </c>
      <c r="K9" s="806">
        <v>6698.7877530000005</v>
      </c>
      <c r="L9" s="807">
        <v>12126.519465787997</v>
      </c>
      <c r="M9" s="806">
        <v>6621.3599839399994</v>
      </c>
      <c r="N9" s="806">
        <v>7190.7040910000005</v>
      </c>
      <c r="O9" s="807">
        <v>13812.064074940001</v>
      </c>
      <c r="P9" s="806">
        <v>6942.4681329999921</v>
      </c>
      <c r="Q9" s="806">
        <v>6085.9726980000014</v>
      </c>
      <c r="R9" s="1250">
        <v>13028.440830999993</v>
      </c>
      <c r="S9" s="2508">
        <v>6126.4</v>
      </c>
      <c r="T9" s="2508">
        <v>5599.3</v>
      </c>
      <c r="U9" s="2509">
        <v>11725.7</v>
      </c>
      <c r="V9" s="201"/>
      <c r="W9" s="1305"/>
      <c r="X9" s="204"/>
      <c r="Y9" s="204"/>
    </row>
    <row r="10" spans="2:25" x14ac:dyDescent="0.3">
      <c r="C10" s="812" t="s">
        <v>1049</v>
      </c>
      <c r="D10" s="806">
        <v>3525.4110778494278</v>
      </c>
      <c r="E10" s="806">
        <v>172.34390159006199</v>
      </c>
      <c r="F10" s="807">
        <f t="shared" si="0"/>
        <v>3697.7549794394899</v>
      </c>
      <c r="G10" s="806">
        <v>4707.3883365366491</v>
      </c>
      <c r="H10" s="806">
        <v>300.57416934161478</v>
      </c>
      <c r="I10" s="807">
        <v>5007.962505878264</v>
      </c>
      <c r="J10" s="806">
        <v>6960.4779423839245</v>
      </c>
      <c r="K10" s="806">
        <v>417.59718814906807</v>
      </c>
      <c r="L10" s="807">
        <v>7378.0751305329923</v>
      </c>
      <c r="M10" s="806">
        <v>7566.7572098705677</v>
      </c>
      <c r="N10" s="806">
        <v>680.28070589440995</v>
      </c>
      <c r="O10" s="807">
        <v>8247.0379157649768</v>
      </c>
      <c r="P10" s="806">
        <v>7962.2882425236285</v>
      </c>
      <c r="Q10" s="806">
        <v>1022.4012158173281</v>
      </c>
      <c r="R10" s="1250">
        <v>8984.6894583409558</v>
      </c>
      <c r="S10" s="2508">
        <v>8272.1</v>
      </c>
      <c r="T10" s="2508">
        <v>889.3</v>
      </c>
      <c r="U10" s="2509">
        <v>9161.4</v>
      </c>
      <c r="V10" s="201"/>
      <c r="W10" s="1305"/>
      <c r="X10" s="204"/>
      <c r="Y10" s="204"/>
    </row>
    <row r="11" spans="2:25" x14ac:dyDescent="0.3">
      <c r="C11" s="812" t="s">
        <v>1653</v>
      </c>
      <c r="D11" s="806">
        <v>1795.1044830701228</v>
      </c>
      <c r="E11" s="806">
        <v>2.7667660000000001</v>
      </c>
      <c r="F11" s="807">
        <f t="shared" si="0"/>
        <v>1797.8712490701228</v>
      </c>
      <c r="G11" s="806">
        <v>1493.3712547362245</v>
      </c>
      <c r="H11" s="806">
        <v>0</v>
      </c>
      <c r="I11" s="807">
        <v>1493.3712547362245</v>
      </c>
      <c r="J11" s="806">
        <v>489.58057784670041</v>
      </c>
      <c r="K11" s="806"/>
      <c r="L11" s="807">
        <v>489.58057784670041</v>
      </c>
      <c r="M11" s="806">
        <v>479.07528757199623</v>
      </c>
      <c r="N11" s="806">
        <v>0</v>
      </c>
      <c r="O11" s="807">
        <v>479.07528757199623</v>
      </c>
      <c r="P11" s="806">
        <v>407.74494099455876</v>
      </c>
      <c r="Q11" s="806">
        <v>0</v>
      </c>
      <c r="R11" s="1250">
        <v>407.74494099455876</v>
      </c>
      <c r="S11" s="2508">
        <v>459.6</v>
      </c>
      <c r="T11" s="2508">
        <v>0</v>
      </c>
      <c r="U11" s="2509">
        <v>459.6</v>
      </c>
      <c r="V11" s="201"/>
      <c r="W11" s="1305"/>
      <c r="X11" s="204"/>
      <c r="Y11" s="204"/>
    </row>
    <row r="12" spans="2:25" x14ac:dyDescent="0.3">
      <c r="C12" s="812" t="s">
        <v>1050</v>
      </c>
      <c r="D12" s="806">
        <v>64504.445661373669</v>
      </c>
      <c r="E12" s="806">
        <v>8208.2814793596717</v>
      </c>
      <c r="F12" s="807">
        <f t="shared" si="0"/>
        <v>72712.727140733346</v>
      </c>
      <c r="G12" s="806">
        <v>68410.55728296905</v>
      </c>
      <c r="H12" s="806">
        <v>8248.1611593846319</v>
      </c>
      <c r="I12" s="807">
        <v>76658.718442353682</v>
      </c>
      <c r="J12" s="806">
        <v>81434.640834902413</v>
      </c>
      <c r="K12" s="806">
        <v>4465.8125405921792</v>
      </c>
      <c r="L12" s="807">
        <v>85900.453375494588</v>
      </c>
      <c r="M12" s="806">
        <v>80700.079520984684</v>
      </c>
      <c r="N12" s="806">
        <v>8926.0916697753637</v>
      </c>
      <c r="O12" s="807">
        <v>89626.17119076004</v>
      </c>
      <c r="P12" s="806">
        <v>80903.030962906778</v>
      </c>
      <c r="Q12" s="806">
        <v>10504.304079579755</v>
      </c>
      <c r="R12" s="1250">
        <v>91407.335042486535</v>
      </c>
      <c r="S12" s="2508">
        <v>82931.7</v>
      </c>
      <c r="T12" s="2508">
        <v>11775.8</v>
      </c>
      <c r="U12" s="2509">
        <v>94707.5</v>
      </c>
      <c r="V12" s="201"/>
      <c r="W12" s="1305"/>
      <c r="X12" s="204"/>
      <c r="Y12" s="204"/>
    </row>
    <row r="13" spans="2:25" x14ac:dyDescent="0.3">
      <c r="C13" s="812" t="s">
        <v>1051</v>
      </c>
      <c r="D13" s="806">
        <v>712.80808354949113</v>
      </c>
      <c r="E13" s="806">
        <v>142.2561404744028</v>
      </c>
      <c r="F13" s="807">
        <f t="shared" si="0"/>
        <v>855.06422402389398</v>
      </c>
      <c r="G13" s="806">
        <v>765.32724574316512</v>
      </c>
      <c r="H13" s="806">
        <v>252.16909521843058</v>
      </c>
      <c r="I13" s="807">
        <v>1017.4963409615957</v>
      </c>
      <c r="J13" s="806">
        <v>625.27928052901291</v>
      </c>
      <c r="K13" s="806">
        <v>100.34664298976124</v>
      </c>
      <c r="L13" s="807">
        <v>725.62592351877413</v>
      </c>
      <c r="M13" s="806">
        <v>649.85661645051266</v>
      </c>
      <c r="N13" s="806">
        <v>132.03832823549507</v>
      </c>
      <c r="O13" s="807">
        <v>781.89494468600776</v>
      </c>
      <c r="P13" s="806">
        <v>663.47543011092534</v>
      </c>
      <c r="Q13" s="806">
        <v>174.70499230716723</v>
      </c>
      <c r="R13" s="1250">
        <v>838.18042241809258</v>
      </c>
      <c r="S13" s="2508">
        <v>697.9</v>
      </c>
      <c r="T13" s="2508">
        <v>311.39999999999998</v>
      </c>
      <c r="U13" s="2509">
        <v>1009.3</v>
      </c>
      <c r="V13" s="201"/>
      <c r="W13" s="1305"/>
      <c r="X13" s="204"/>
      <c r="Y13" s="204"/>
    </row>
    <row r="14" spans="2:25" x14ac:dyDescent="0.3">
      <c r="C14" s="812" t="s">
        <v>1066</v>
      </c>
      <c r="D14" s="806">
        <v>1475.4383266979019</v>
      </c>
      <c r="E14" s="806">
        <v>2621.8598440000001</v>
      </c>
      <c r="F14" s="807">
        <f t="shared" si="0"/>
        <v>4097.2981706979017</v>
      </c>
      <c r="G14" s="806">
        <v>1563.0032779608532</v>
      </c>
      <c r="H14" s="806">
        <v>2977.3385330000001</v>
      </c>
      <c r="I14" s="807">
        <v>4540.3418109608538</v>
      </c>
      <c r="J14" s="806">
        <v>1690.4400399639876</v>
      </c>
      <c r="K14" s="806">
        <v>2046.7451959999999</v>
      </c>
      <c r="L14" s="807">
        <v>3737.1852359639875</v>
      </c>
      <c r="M14" s="806">
        <v>1806.2602763844561</v>
      </c>
      <c r="N14" s="806">
        <v>2280.9443740729444</v>
      </c>
      <c r="O14" s="807">
        <v>4087.2046504574005</v>
      </c>
      <c r="P14" s="806">
        <v>1854.3545017977426</v>
      </c>
      <c r="Q14" s="806">
        <v>2726.3831100000002</v>
      </c>
      <c r="R14" s="1250">
        <v>4580.7376117977428</v>
      </c>
      <c r="S14" s="2508">
        <v>1928.5</v>
      </c>
      <c r="T14" s="2508">
        <v>3033</v>
      </c>
      <c r="U14" s="2509">
        <v>4961.5</v>
      </c>
      <c r="V14" s="201"/>
      <c r="W14" s="1305"/>
      <c r="X14" s="204"/>
      <c r="Y14" s="204"/>
    </row>
    <row r="15" spans="2:25" ht="24.75" customHeight="1" x14ac:dyDescent="0.3">
      <c r="B15" s="1454"/>
      <c r="C15" s="812" t="s">
        <v>1414</v>
      </c>
      <c r="D15" s="806">
        <v>4924.589196374729</v>
      </c>
      <c r="E15" s="806">
        <v>661.89244400038365</v>
      </c>
      <c r="F15" s="807">
        <f t="shared" si="0"/>
        <v>5586.4816403751129</v>
      </c>
      <c r="G15" s="806">
        <v>5541.9559522737754</v>
      </c>
      <c r="H15" s="806">
        <v>719.84765200000004</v>
      </c>
      <c r="I15" s="807">
        <v>6261.8036042737758</v>
      </c>
      <c r="J15" s="806">
        <v>6174.4911338294633</v>
      </c>
      <c r="K15" s="806">
        <v>783.27734099788938</v>
      </c>
      <c r="L15" s="807">
        <v>6957.7684748273523</v>
      </c>
      <c r="M15" s="806">
        <v>5781.834191109484</v>
      </c>
      <c r="N15" s="806">
        <v>738.58339000000001</v>
      </c>
      <c r="O15" s="807">
        <v>6520.4175811094838</v>
      </c>
      <c r="P15" s="806">
        <v>5769.725171996457</v>
      </c>
      <c r="Q15" s="806">
        <v>727.57022595358058</v>
      </c>
      <c r="R15" s="1250">
        <v>6497.295397950038</v>
      </c>
      <c r="S15" s="2508">
        <v>5933.6</v>
      </c>
      <c r="T15" s="2508">
        <v>443.3</v>
      </c>
      <c r="U15" s="2509">
        <v>6376.9000000000005</v>
      </c>
      <c r="V15" s="201"/>
      <c r="W15" s="1305"/>
      <c r="X15" s="204"/>
      <c r="Y15" s="204"/>
    </row>
    <row r="16" spans="2:25" x14ac:dyDescent="0.3">
      <c r="C16" s="812" t="s">
        <v>1054</v>
      </c>
      <c r="D16" s="806">
        <v>5356.376497999996</v>
      </c>
      <c r="E16" s="806">
        <v>2167.538892</v>
      </c>
      <c r="F16" s="807">
        <f t="shared" si="0"/>
        <v>7523.9153899999965</v>
      </c>
      <c r="G16" s="806">
        <v>5092.9968940000335</v>
      </c>
      <c r="H16" s="806">
        <v>2723.3328419999998</v>
      </c>
      <c r="I16" s="807">
        <v>7816.3297360000333</v>
      </c>
      <c r="J16" s="806">
        <v>5210.9888120000114</v>
      </c>
      <c r="K16" s="806">
        <v>2830.0827060000001</v>
      </c>
      <c r="L16" s="807">
        <v>8041.0715180000116</v>
      </c>
      <c r="M16" s="806">
        <v>5576.0706410000148</v>
      </c>
      <c r="N16" s="806">
        <v>3231.177216</v>
      </c>
      <c r="O16" s="807">
        <v>8807.2478570000148</v>
      </c>
      <c r="P16" s="806">
        <v>5769.2156950000508</v>
      </c>
      <c r="Q16" s="806">
        <v>2812.3272055000002</v>
      </c>
      <c r="R16" s="1250">
        <v>8581.5429005000515</v>
      </c>
      <c r="S16" s="2508">
        <v>6063.6</v>
      </c>
      <c r="T16" s="2508">
        <v>2633.7</v>
      </c>
      <c r="U16" s="2509">
        <v>8697.2999999999993</v>
      </c>
      <c r="V16" s="201"/>
      <c r="W16" s="1305"/>
      <c r="X16" s="204"/>
      <c r="Y16" s="204"/>
    </row>
    <row r="17" spans="2:25" x14ac:dyDescent="0.3">
      <c r="B17" s="86"/>
      <c r="C17" s="812" t="s">
        <v>1654</v>
      </c>
      <c r="D17" s="806">
        <v>5034.2116309999983</v>
      </c>
      <c r="E17" s="806">
        <v>10570.940941000001</v>
      </c>
      <c r="F17" s="807">
        <f t="shared" si="0"/>
        <v>15605.152571999999</v>
      </c>
      <c r="G17" s="806">
        <v>6110.2440769999948</v>
      </c>
      <c r="H17" s="806">
        <v>8145.1878749999996</v>
      </c>
      <c r="I17" s="807">
        <v>14255.431951999995</v>
      </c>
      <c r="J17" s="806">
        <v>7205.5424389999953</v>
      </c>
      <c r="K17" s="806">
        <v>11137.364496999997</v>
      </c>
      <c r="L17" s="807">
        <v>18342.906935999992</v>
      </c>
      <c r="M17" s="806">
        <v>7014.9940399999969</v>
      </c>
      <c r="N17" s="806">
        <v>13303.544283000003</v>
      </c>
      <c r="O17" s="807">
        <v>20318.538323000001</v>
      </c>
      <c r="P17" s="806">
        <v>6957.7362480000029</v>
      </c>
      <c r="Q17" s="806">
        <v>15044.537297000001</v>
      </c>
      <c r="R17" s="1250">
        <v>22002.273545000004</v>
      </c>
      <c r="S17" s="2508">
        <v>6955.6</v>
      </c>
      <c r="T17" s="2508">
        <v>11445.2</v>
      </c>
      <c r="U17" s="2509">
        <v>18400.800000000003</v>
      </c>
      <c r="V17" s="201"/>
      <c r="W17" s="1305"/>
      <c r="X17" s="204"/>
      <c r="Y17" s="204"/>
    </row>
    <row r="18" spans="2:25" ht="18.75" customHeight="1" x14ac:dyDescent="0.3">
      <c r="B18" s="86"/>
      <c r="C18" s="812" t="s">
        <v>148</v>
      </c>
      <c r="D18" s="806">
        <v>4148.7515766684228</v>
      </c>
      <c r="E18" s="806">
        <v>8642.5293420000016</v>
      </c>
      <c r="F18" s="807">
        <f t="shared" si="0"/>
        <v>12791.280918668424</v>
      </c>
      <c r="G18" s="806">
        <v>5073.1300529772716</v>
      </c>
      <c r="H18" s="806">
        <v>7224.0358276263451</v>
      </c>
      <c r="I18" s="807">
        <v>12297.165880603618</v>
      </c>
      <c r="J18" s="806">
        <v>5078.369088097661</v>
      </c>
      <c r="K18" s="806">
        <v>10764.078840079872</v>
      </c>
      <c r="L18" s="807">
        <v>15842.447928177533</v>
      </c>
      <c r="M18" s="806">
        <v>4939.4977934682138</v>
      </c>
      <c r="N18" s="806">
        <v>9756.5756399032252</v>
      </c>
      <c r="O18" s="807">
        <v>14696.073433371439</v>
      </c>
      <c r="P18" s="806">
        <v>5424.6302951270754</v>
      </c>
      <c r="Q18" s="806">
        <v>6135.8909174501086</v>
      </c>
      <c r="R18" s="1250">
        <v>11560.521212577183</v>
      </c>
      <c r="S18" s="2508">
        <v>6051.3</v>
      </c>
      <c r="T18" s="2508">
        <v>4305.3999999999996</v>
      </c>
      <c r="U18" s="2509">
        <v>10356.700000000001</v>
      </c>
      <c r="V18" s="201"/>
      <c r="W18" s="1305"/>
      <c r="X18" s="1303"/>
      <c r="Y18" s="204"/>
    </row>
    <row r="19" spans="2:25" x14ac:dyDescent="0.3">
      <c r="B19" s="86"/>
      <c r="C19" s="813" t="s">
        <v>133</v>
      </c>
      <c r="D19" s="808">
        <f t="shared" ref="D19:F19" si="1">SUM(D7:D18)</f>
        <v>150188.81798135338</v>
      </c>
      <c r="E19" s="808">
        <f t="shared" si="1"/>
        <v>44106.503844865547</v>
      </c>
      <c r="F19" s="808">
        <f t="shared" si="1"/>
        <v>194295.32182621898</v>
      </c>
      <c r="G19" s="808">
        <v>161342.55419524366</v>
      </c>
      <c r="H19" s="808">
        <v>40354.10353643971</v>
      </c>
      <c r="I19" s="808">
        <v>201696.6577316834</v>
      </c>
      <c r="J19" s="808">
        <v>181432.2330383787</v>
      </c>
      <c r="K19" s="808">
        <v>41589.597374918616</v>
      </c>
      <c r="L19" s="808">
        <v>223021.83041329731</v>
      </c>
      <c r="M19" s="808">
        <v>184937.4016362991</v>
      </c>
      <c r="N19" s="808">
        <v>49321.296643162525</v>
      </c>
      <c r="O19" s="808">
        <v>234258.69827946159</v>
      </c>
      <c r="P19" s="808">
        <v>190179.2182932162</v>
      </c>
      <c r="Q19" s="808">
        <v>49042.258468395521</v>
      </c>
      <c r="R19" s="808">
        <v>239221.47676161173</v>
      </c>
      <c r="S19" s="2510">
        <v>196655.59999999998</v>
      </c>
      <c r="T19" s="2510">
        <v>44956.700000000004</v>
      </c>
      <c r="U19" s="2510">
        <v>241612.3</v>
      </c>
      <c r="V19" s="201"/>
      <c r="W19" s="1303"/>
      <c r="X19" s="1303"/>
      <c r="Y19" s="205"/>
    </row>
    <row r="20" spans="2:25" ht="15.75" customHeight="1" x14ac:dyDescent="0.3">
      <c r="B20" s="86"/>
      <c r="C20" s="3456" t="s">
        <v>2483</v>
      </c>
      <c r="D20" s="3457"/>
      <c r="E20" s="3457"/>
      <c r="F20" s="3457"/>
      <c r="G20" s="3457"/>
      <c r="H20" s="3457"/>
      <c r="I20" s="3457"/>
      <c r="J20" s="3457"/>
      <c r="K20" s="3457"/>
      <c r="L20" s="3457"/>
      <c r="M20" s="3457"/>
      <c r="N20" s="3457"/>
      <c r="O20" s="3457"/>
      <c r="P20" s="3457"/>
      <c r="Q20" s="3457"/>
      <c r="R20" s="3457"/>
      <c r="S20" s="3457"/>
      <c r="T20" s="3457"/>
      <c r="U20" s="3582"/>
      <c r="V20" s="201"/>
      <c r="W20" s="60"/>
      <c r="X20" s="60"/>
      <c r="Y20" s="60"/>
    </row>
    <row r="21" spans="2:25" ht="15.75" customHeight="1" x14ac:dyDescent="0.3">
      <c r="B21" s="86"/>
      <c r="C21" s="3456" t="s">
        <v>1655</v>
      </c>
      <c r="D21" s="3457"/>
      <c r="E21" s="3457"/>
      <c r="F21" s="3457"/>
      <c r="G21" s="3457"/>
      <c r="H21" s="3457"/>
      <c r="I21" s="3457"/>
      <c r="J21" s="3457"/>
      <c r="K21" s="3457"/>
      <c r="L21" s="3457"/>
      <c r="M21" s="3457"/>
      <c r="N21" s="3457"/>
      <c r="O21" s="3457"/>
      <c r="P21" s="3457"/>
      <c r="Q21" s="3457"/>
      <c r="R21" s="3457"/>
      <c r="S21" s="3457"/>
      <c r="T21" s="3457"/>
      <c r="U21" s="3582"/>
      <c r="V21" s="201"/>
      <c r="W21" s="60"/>
      <c r="X21" s="60"/>
      <c r="Y21" s="60"/>
    </row>
    <row r="22" spans="2:25" ht="15.75" customHeight="1" x14ac:dyDescent="0.3">
      <c r="B22" s="86"/>
      <c r="C22" s="3576" t="s">
        <v>1656</v>
      </c>
      <c r="D22" s="3577"/>
      <c r="E22" s="3577"/>
      <c r="F22" s="3577"/>
      <c r="G22" s="3577"/>
      <c r="H22" s="3577"/>
      <c r="I22" s="3577"/>
      <c r="J22" s="3577"/>
      <c r="K22" s="3577"/>
      <c r="L22" s="3577"/>
      <c r="M22" s="3577"/>
      <c r="N22" s="3577"/>
      <c r="O22" s="3577"/>
      <c r="P22" s="3577"/>
      <c r="Q22" s="3577"/>
      <c r="R22" s="3577"/>
      <c r="S22" s="3577"/>
      <c r="T22" s="3577"/>
      <c r="U22" s="3578"/>
      <c r="V22" s="201"/>
      <c r="W22" s="206"/>
      <c r="X22" s="206"/>
      <c r="Y22" s="206"/>
    </row>
    <row r="23" spans="2:25" ht="15.75" customHeight="1" x14ac:dyDescent="0.3">
      <c r="B23" s="86"/>
      <c r="C23" s="86"/>
      <c r="U23" s="201"/>
      <c r="V23" s="201"/>
    </row>
    <row r="24" spans="2:25" ht="18.75" customHeight="1" x14ac:dyDescent="0.3">
      <c r="B24" s="86"/>
      <c r="C24" s="3583" t="s">
        <v>2561</v>
      </c>
      <c r="D24" s="3584"/>
      <c r="E24" s="3584"/>
      <c r="F24" s="3584"/>
      <c r="G24" s="3584"/>
      <c r="H24" s="3584"/>
      <c r="I24" s="3584"/>
      <c r="J24" s="3584"/>
      <c r="K24" s="3584"/>
      <c r="L24" s="3584"/>
      <c r="M24" s="3584"/>
      <c r="N24" s="3584"/>
      <c r="O24" s="3584"/>
      <c r="P24" s="3584"/>
      <c r="Q24" s="3584"/>
      <c r="R24" s="3584"/>
      <c r="S24" s="3584"/>
      <c r="T24" s="3584"/>
      <c r="U24" s="3585"/>
      <c r="V24" s="201"/>
      <c r="W24" s="207"/>
      <c r="X24" s="207"/>
      <c r="Y24" s="207"/>
    </row>
    <row r="25" spans="2:25" ht="6.75" customHeight="1" x14ac:dyDescent="0.3">
      <c r="B25" s="86"/>
      <c r="C25" s="814"/>
      <c r="U25" s="201"/>
      <c r="V25" s="201"/>
    </row>
    <row r="26" spans="2:25" x14ac:dyDescent="0.3">
      <c r="B26" s="86"/>
      <c r="C26" s="86"/>
      <c r="U26" s="201"/>
      <c r="V26" s="201"/>
    </row>
    <row r="27" spans="2:25" x14ac:dyDescent="0.3">
      <c r="B27" s="86"/>
      <c r="C27" s="86"/>
      <c r="U27" s="201"/>
      <c r="V27" s="201"/>
    </row>
    <row r="28" spans="2:25" x14ac:dyDescent="0.3">
      <c r="B28" s="86"/>
      <c r="C28" s="86"/>
      <c r="U28" s="201"/>
      <c r="V28" s="201"/>
    </row>
    <row r="29" spans="2:25" x14ac:dyDescent="0.3">
      <c r="B29" s="86"/>
      <c r="C29" s="86"/>
      <c r="U29" s="201"/>
      <c r="V29" s="201"/>
    </row>
    <row r="30" spans="2:25" x14ac:dyDescent="0.3">
      <c r="B30" s="86"/>
      <c r="C30" s="86"/>
      <c r="U30" s="201"/>
      <c r="V30" s="201"/>
    </row>
    <row r="31" spans="2:25" x14ac:dyDescent="0.3">
      <c r="B31" s="86"/>
      <c r="C31" s="86"/>
      <c r="U31" s="201"/>
      <c r="V31" s="201"/>
    </row>
    <row r="32" spans="2:25" x14ac:dyDescent="0.3">
      <c r="B32" s="86"/>
      <c r="C32" s="86"/>
      <c r="U32" s="201"/>
      <c r="V32" s="201"/>
    </row>
    <row r="33" spans="2:25" ht="15.75" customHeight="1" x14ac:dyDescent="0.3">
      <c r="B33" s="86"/>
      <c r="C33" s="86"/>
      <c r="U33" s="201"/>
      <c r="V33" s="201"/>
    </row>
    <row r="34" spans="2:25" x14ac:dyDescent="0.3">
      <c r="B34" s="86"/>
      <c r="C34" s="86"/>
      <c r="U34" s="201"/>
      <c r="V34" s="201"/>
    </row>
    <row r="35" spans="2:25" x14ac:dyDescent="0.3">
      <c r="B35" s="86"/>
      <c r="C35" s="86"/>
      <c r="U35" s="201"/>
      <c r="V35" s="201"/>
    </row>
    <row r="36" spans="2:25" ht="15.75" customHeight="1" x14ac:dyDescent="0.3">
      <c r="B36" s="86"/>
      <c r="C36" s="86"/>
      <c r="U36" s="201"/>
      <c r="V36" s="201"/>
    </row>
    <row r="37" spans="2:25" ht="15.75" customHeight="1" x14ac:dyDescent="0.3">
      <c r="B37" s="86"/>
      <c r="C37" s="86"/>
      <c r="U37" s="201"/>
      <c r="V37" s="201"/>
    </row>
    <row r="38" spans="2:25" ht="15.75" customHeight="1" x14ac:dyDescent="0.3">
      <c r="B38" s="86"/>
      <c r="C38" s="86"/>
      <c r="U38" s="201"/>
      <c r="V38" s="201"/>
    </row>
    <row r="39" spans="2:25" ht="15.75" customHeight="1" x14ac:dyDescent="0.3">
      <c r="B39" s="86"/>
      <c r="C39" s="86"/>
      <c r="U39" s="201"/>
      <c r="V39" s="201"/>
    </row>
    <row r="40" spans="2:25" x14ac:dyDescent="0.3">
      <c r="B40" s="86"/>
      <c r="C40" s="86"/>
      <c r="U40" s="201"/>
      <c r="V40" s="201"/>
    </row>
    <row r="41" spans="2:25" x14ac:dyDescent="0.3">
      <c r="B41" s="86"/>
      <c r="C41" s="86"/>
      <c r="U41" s="201"/>
      <c r="V41" s="201"/>
    </row>
    <row r="42" spans="2:25" x14ac:dyDescent="0.3">
      <c r="B42" s="86"/>
      <c r="C42" s="86"/>
      <c r="U42" s="201"/>
      <c r="V42" s="201"/>
    </row>
    <row r="43" spans="2:25" x14ac:dyDescent="0.3">
      <c r="B43" s="86"/>
      <c r="C43" s="86"/>
      <c r="U43" s="201"/>
      <c r="V43" s="201"/>
    </row>
    <row r="44" spans="2:25" x14ac:dyDescent="0.3">
      <c r="B44" s="86"/>
      <c r="C44" s="86"/>
      <c r="U44" s="201"/>
      <c r="V44" s="201"/>
    </row>
    <row r="45" spans="2:25" x14ac:dyDescent="0.3">
      <c r="B45" s="86"/>
      <c r="C45" s="86"/>
      <c r="U45" s="201"/>
      <c r="V45" s="201"/>
    </row>
    <row r="46" spans="2:25" ht="18.75" customHeight="1" x14ac:dyDescent="0.3">
      <c r="B46" s="86"/>
      <c r="C46" s="3586" t="s">
        <v>2314</v>
      </c>
      <c r="D46" s="3587"/>
      <c r="E46" s="3587"/>
      <c r="F46" s="3587"/>
      <c r="G46" s="3587"/>
      <c r="H46" s="3587"/>
      <c r="I46" s="3587"/>
      <c r="J46" s="3587"/>
      <c r="K46" s="3587"/>
      <c r="L46" s="3587"/>
      <c r="M46" s="3587"/>
      <c r="N46" s="3587"/>
      <c r="O46" s="3587"/>
      <c r="P46" s="3587"/>
      <c r="Q46" s="3587"/>
      <c r="R46" s="3587"/>
      <c r="S46" s="3587"/>
      <c r="T46" s="3587"/>
      <c r="U46" s="3588"/>
      <c r="V46" s="201"/>
      <c r="W46" s="207"/>
      <c r="X46" s="207"/>
      <c r="Y46" s="207"/>
    </row>
    <row r="47" spans="2:25" x14ac:dyDescent="0.3">
      <c r="B47" s="86"/>
      <c r="C47" s="86"/>
      <c r="U47" s="201"/>
      <c r="V47" s="201"/>
    </row>
    <row r="48" spans="2:25" x14ac:dyDescent="0.3">
      <c r="B48" s="86"/>
      <c r="C48" s="86"/>
      <c r="U48" s="201"/>
      <c r="V48" s="201"/>
    </row>
    <row r="49" spans="2:22" x14ac:dyDescent="0.3">
      <c r="B49" s="86"/>
      <c r="C49" s="86"/>
      <c r="U49" s="201"/>
      <c r="V49" s="201"/>
    </row>
    <row r="50" spans="2:22" x14ac:dyDescent="0.3">
      <c r="B50" s="86"/>
      <c r="C50" s="86"/>
      <c r="U50" s="201"/>
      <c r="V50" s="201"/>
    </row>
    <row r="51" spans="2:22" x14ac:dyDescent="0.3">
      <c r="B51" s="86"/>
      <c r="C51" s="86"/>
      <c r="U51" s="201"/>
      <c r="V51" s="201"/>
    </row>
    <row r="52" spans="2:22" x14ac:dyDescent="0.3">
      <c r="B52" s="86"/>
      <c r="C52" s="86"/>
      <c r="U52" s="201"/>
      <c r="V52" s="201"/>
    </row>
    <row r="53" spans="2:22" x14ac:dyDescent="0.3">
      <c r="B53" s="86"/>
      <c r="C53" s="86"/>
      <c r="U53" s="201"/>
      <c r="V53" s="201"/>
    </row>
    <row r="54" spans="2:22" x14ac:dyDescent="0.3">
      <c r="B54" s="86"/>
      <c r="C54" s="86"/>
      <c r="U54" s="201"/>
      <c r="V54" s="201"/>
    </row>
    <row r="55" spans="2:22" x14ac:dyDescent="0.3">
      <c r="B55" s="86"/>
      <c r="C55" s="86"/>
      <c r="U55" s="201"/>
      <c r="V55" s="201"/>
    </row>
    <row r="56" spans="2:22" x14ac:dyDescent="0.3">
      <c r="B56" s="86"/>
      <c r="C56" s="86"/>
      <c r="U56" s="201"/>
      <c r="V56" s="201"/>
    </row>
    <row r="57" spans="2:22" x14ac:dyDescent="0.3">
      <c r="B57" s="86"/>
      <c r="C57" s="86"/>
      <c r="U57" s="201"/>
      <c r="V57" s="201"/>
    </row>
    <row r="58" spans="2:22" x14ac:dyDescent="0.3">
      <c r="B58" s="86"/>
      <c r="C58" s="86"/>
      <c r="U58" s="201"/>
      <c r="V58" s="201"/>
    </row>
    <row r="59" spans="2:22" x14ac:dyDescent="0.3">
      <c r="B59" s="86"/>
      <c r="C59" s="86"/>
      <c r="U59" s="201"/>
      <c r="V59" s="201"/>
    </row>
    <row r="60" spans="2:22" x14ac:dyDescent="0.3">
      <c r="B60" s="86"/>
      <c r="C60" s="86"/>
      <c r="U60" s="201"/>
      <c r="V60" s="201"/>
    </row>
    <row r="61" spans="2:22" x14ac:dyDescent="0.3">
      <c r="B61" s="86"/>
      <c r="C61" s="86"/>
      <c r="U61" s="201"/>
      <c r="V61" s="201"/>
    </row>
    <row r="62" spans="2:22" x14ac:dyDescent="0.3">
      <c r="B62" s="86"/>
      <c r="C62" s="86"/>
      <c r="U62" s="201"/>
      <c r="V62" s="201"/>
    </row>
    <row r="63" spans="2:22" x14ac:dyDescent="0.3">
      <c r="B63" s="86"/>
      <c r="C63" s="86"/>
      <c r="U63" s="201"/>
      <c r="V63" s="201"/>
    </row>
    <row r="64" spans="2:22" ht="1.5" customHeight="1" x14ac:dyDescent="0.3">
      <c r="B64" s="86"/>
      <c r="C64" s="86"/>
      <c r="U64" s="201"/>
      <c r="V64" s="201"/>
    </row>
    <row r="65" spans="2:25" x14ac:dyDescent="0.3">
      <c r="B65" s="86"/>
      <c r="C65" s="86"/>
      <c r="U65" s="201"/>
      <c r="V65" s="201"/>
    </row>
    <row r="66" spans="2:25" x14ac:dyDescent="0.3">
      <c r="B66" s="86"/>
      <c r="C66" s="86"/>
      <c r="U66" s="201"/>
      <c r="V66" s="201"/>
    </row>
    <row r="67" spans="2:25" x14ac:dyDescent="0.3">
      <c r="B67" s="86"/>
      <c r="C67" s="1304" t="s">
        <v>2488</v>
      </c>
      <c r="D67" s="1263"/>
      <c r="E67" s="1263"/>
      <c r="F67" s="1263"/>
      <c r="G67" s="1263"/>
      <c r="H67" s="1263"/>
      <c r="I67" s="1263"/>
      <c r="J67" s="1264"/>
      <c r="K67" s="1264"/>
      <c r="L67" s="1264"/>
      <c r="M67" s="1264"/>
      <c r="N67" s="1264"/>
      <c r="O67" s="1264"/>
      <c r="P67" s="1264"/>
      <c r="Q67" s="1264"/>
      <c r="R67" s="1264"/>
      <c r="S67" s="1264"/>
      <c r="T67" s="1264"/>
      <c r="U67" s="1265"/>
      <c r="V67" s="209"/>
      <c r="W67" s="208"/>
      <c r="X67" s="208"/>
      <c r="Y67" s="208"/>
    </row>
    <row r="68" spans="2:25" x14ac:dyDescent="0.3">
      <c r="B68" s="86"/>
      <c r="C68" s="3589" t="s">
        <v>3016</v>
      </c>
      <c r="D68" s="3590"/>
      <c r="E68" s="3590"/>
      <c r="F68" s="3590"/>
      <c r="G68" s="3590"/>
      <c r="H68" s="3590"/>
      <c r="I68" s="3590"/>
      <c r="J68" s="3590"/>
      <c r="K68" s="3590"/>
      <c r="L68" s="3590"/>
      <c r="M68" s="3590"/>
      <c r="N68" s="3590"/>
      <c r="O68" s="3590"/>
      <c r="P68" s="3590"/>
      <c r="Q68" s="3590"/>
      <c r="R68" s="3590"/>
      <c r="S68" s="3590"/>
      <c r="T68" s="3590"/>
      <c r="U68" s="3591"/>
      <c r="V68" s="87"/>
      <c r="W68" s="4"/>
      <c r="X68" s="4"/>
      <c r="Y68" s="4"/>
    </row>
    <row r="69" spans="2:25" x14ac:dyDescent="0.3">
      <c r="B69" s="86"/>
      <c r="C69" s="3589" t="s">
        <v>3017</v>
      </c>
      <c r="D69" s="3590"/>
      <c r="E69" s="3590"/>
      <c r="F69" s="3590"/>
      <c r="G69" s="3590"/>
      <c r="H69" s="3590"/>
      <c r="I69" s="3590"/>
      <c r="J69" s="3590"/>
      <c r="K69" s="3590"/>
      <c r="L69" s="3590"/>
      <c r="M69" s="3590"/>
      <c r="N69" s="3590"/>
      <c r="O69" s="3590"/>
      <c r="P69" s="3590"/>
      <c r="Q69" s="3590"/>
      <c r="R69" s="3590"/>
      <c r="S69" s="3590"/>
      <c r="T69" s="3590"/>
      <c r="U69" s="3591"/>
      <c r="V69" s="87"/>
      <c r="W69" s="4"/>
      <c r="X69" s="4"/>
      <c r="Y69" s="4"/>
    </row>
    <row r="70" spans="2:25" x14ac:dyDescent="0.3">
      <c r="B70" s="86"/>
      <c r="C70" s="3592" t="s">
        <v>2891</v>
      </c>
      <c r="D70" s="3593"/>
      <c r="E70" s="3593"/>
      <c r="F70" s="3593"/>
      <c r="G70" s="3593"/>
      <c r="H70" s="3593"/>
      <c r="I70" s="3593"/>
      <c r="J70" s="3593"/>
      <c r="K70" s="3593"/>
      <c r="L70" s="3593"/>
      <c r="M70" s="3593"/>
      <c r="N70" s="3593"/>
      <c r="O70" s="3593"/>
      <c r="P70" s="3593"/>
      <c r="Q70" s="3593"/>
      <c r="R70" s="3593"/>
      <c r="S70" s="3593"/>
      <c r="T70" s="3593"/>
      <c r="U70" s="3594"/>
      <c r="V70" s="87"/>
      <c r="W70" s="4"/>
      <c r="X70" s="4"/>
      <c r="Y70" s="4"/>
    </row>
    <row r="71" spans="2:25" ht="11.25" customHeight="1" thickBot="1" x14ac:dyDescent="0.35">
      <c r="B71" s="86"/>
      <c r="C71" s="3595" t="s">
        <v>1657</v>
      </c>
      <c r="D71" s="3596"/>
      <c r="E71" s="3596"/>
      <c r="F71" s="3596"/>
      <c r="G71" s="3596"/>
      <c r="H71" s="3596"/>
      <c r="I71" s="3596"/>
      <c r="J71" s="3596"/>
      <c r="K71" s="3596"/>
      <c r="L71" s="3596"/>
      <c r="M71" s="3596"/>
      <c r="N71" s="3596"/>
      <c r="O71" s="3596"/>
      <c r="P71" s="3596"/>
      <c r="Q71" s="3596"/>
      <c r="R71" s="3596"/>
      <c r="S71" s="3596"/>
      <c r="T71" s="3596"/>
      <c r="U71" s="3597"/>
      <c r="V71" s="89"/>
      <c r="W71" s="4"/>
      <c r="X71" s="4"/>
      <c r="Y71" s="4"/>
    </row>
    <row r="85" spans="4:25" x14ac:dyDescent="0.3">
      <c r="I85" s="3575"/>
      <c r="J85" s="3575"/>
      <c r="K85" s="3575"/>
      <c r="T85" s="4"/>
      <c r="U85" s="4"/>
      <c r="V85" s="4"/>
      <c r="W85" s="4"/>
      <c r="X85" s="4"/>
      <c r="Y85" s="4"/>
    </row>
    <row r="86" spans="4:25" x14ac:dyDescent="0.3">
      <c r="V86" s="4"/>
      <c r="W86" s="4"/>
      <c r="X86" s="4"/>
      <c r="Y86" s="4"/>
    </row>
    <row r="87" spans="4:25" x14ac:dyDescent="0.3">
      <c r="J87" s="43"/>
      <c r="K87" s="43"/>
      <c r="L87" s="165"/>
      <c r="M87" s="165"/>
      <c r="P87" s="43"/>
      <c r="Q87" s="43"/>
      <c r="R87" s="165"/>
      <c r="T87" s="210"/>
      <c r="U87" s="210"/>
      <c r="V87" s="4"/>
      <c r="W87" s="4"/>
      <c r="X87" s="2258"/>
      <c r="Y87" s="4"/>
    </row>
    <row r="88" spans="4:25" x14ac:dyDescent="0.3">
      <c r="D88" s="4"/>
      <c r="E88" s="4"/>
      <c r="F88" s="4"/>
      <c r="G88" s="4"/>
      <c r="H88" s="4"/>
      <c r="I88" s="4"/>
      <c r="J88" s="1229"/>
      <c r="K88" s="1229"/>
      <c r="P88" s="43"/>
      <c r="Q88" s="43"/>
      <c r="R88" s="165"/>
      <c r="T88" s="210"/>
      <c r="U88" s="210"/>
      <c r="X88" s="2258"/>
      <c r="Y88" s="4"/>
    </row>
    <row r="89" spans="4:25" x14ac:dyDescent="0.3">
      <c r="D89" s="4"/>
      <c r="E89" s="4"/>
      <c r="F89" s="4"/>
      <c r="G89" s="4"/>
      <c r="H89" s="4"/>
      <c r="I89" s="4"/>
      <c r="J89" s="1229"/>
      <c r="K89" s="1729"/>
      <c r="P89" s="43"/>
      <c r="Q89" s="43"/>
      <c r="R89" s="165"/>
      <c r="T89" s="210"/>
      <c r="U89" s="210"/>
      <c r="X89" s="2258"/>
      <c r="Y89" s="4"/>
    </row>
    <row r="90" spans="4:25" x14ac:dyDescent="0.3">
      <c r="D90" s="4"/>
      <c r="E90" s="4"/>
      <c r="F90" s="4"/>
      <c r="G90" s="4"/>
      <c r="H90" s="4"/>
      <c r="I90" s="4"/>
      <c r="J90" s="1229"/>
      <c r="K90" s="1729"/>
      <c r="P90" s="43"/>
      <c r="Q90" s="43"/>
      <c r="R90" s="165"/>
      <c r="T90" s="210"/>
      <c r="U90" s="210"/>
      <c r="X90" s="2258"/>
      <c r="Y90" s="4"/>
    </row>
    <row r="91" spans="4:25" x14ac:dyDescent="0.3">
      <c r="D91" s="4"/>
      <c r="E91" s="4"/>
      <c r="F91" s="4"/>
      <c r="G91" s="4"/>
      <c r="H91" s="4"/>
      <c r="I91" s="4"/>
      <c r="K91" s="43"/>
      <c r="P91" s="43"/>
      <c r="Q91" s="43"/>
      <c r="R91" s="165"/>
      <c r="T91" s="210"/>
      <c r="U91" s="210"/>
      <c r="X91" s="2258"/>
      <c r="Y91" s="4"/>
    </row>
    <row r="92" spans="4:25" x14ac:dyDescent="0.3">
      <c r="D92" s="4"/>
      <c r="E92" s="4"/>
      <c r="F92" s="4"/>
      <c r="G92" s="4"/>
      <c r="H92" s="4"/>
      <c r="I92" s="4"/>
      <c r="K92" s="43"/>
      <c r="P92" s="43"/>
      <c r="Q92" s="43"/>
      <c r="R92" s="165"/>
      <c r="T92" s="210"/>
      <c r="U92" s="210"/>
      <c r="X92" s="2258"/>
      <c r="Y92" s="4"/>
    </row>
    <row r="93" spans="4:25" x14ac:dyDescent="0.3">
      <c r="D93" s="4"/>
      <c r="E93" s="4"/>
      <c r="F93" s="4"/>
      <c r="G93" s="4"/>
      <c r="H93" s="4"/>
      <c r="I93" s="4"/>
      <c r="X93" s="4"/>
      <c r="Y93" s="4"/>
    </row>
    <row r="94" spans="4:25" x14ac:dyDescent="0.3">
      <c r="D94" s="4"/>
      <c r="E94" s="4"/>
      <c r="F94" s="4"/>
      <c r="G94" s="4"/>
      <c r="H94" s="4"/>
      <c r="I94" s="4"/>
      <c r="T94" s="2257"/>
      <c r="U94" s="2257"/>
      <c r="Y94" s="4"/>
    </row>
    <row r="95" spans="4:25" x14ac:dyDescent="0.3">
      <c r="D95" s="4"/>
      <c r="E95" s="4"/>
      <c r="F95" s="4"/>
      <c r="G95" s="4"/>
      <c r="H95" s="4"/>
      <c r="I95" s="4"/>
      <c r="Y95" s="4"/>
    </row>
    <row r="96" spans="4:25" x14ac:dyDescent="0.3">
      <c r="D96" s="4"/>
      <c r="E96" s="4"/>
      <c r="F96" s="4"/>
      <c r="G96" s="4"/>
      <c r="H96" s="4"/>
      <c r="I96" s="4"/>
      <c r="O96" s="3575"/>
      <c r="P96" s="3575"/>
      <c r="Q96" s="3575"/>
      <c r="Y96" s="4"/>
    </row>
    <row r="97" spans="4:25" x14ac:dyDescent="0.3">
      <c r="D97" s="4"/>
      <c r="E97" s="4"/>
      <c r="F97" s="4"/>
      <c r="G97" s="4"/>
      <c r="H97" s="4"/>
      <c r="I97" s="4"/>
      <c r="O97" s="4"/>
      <c r="P97" s="4"/>
      <c r="Q97" s="4"/>
      <c r="Y97" s="4"/>
    </row>
    <row r="98" spans="4:25" x14ac:dyDescent="0.3">
      <c r="D98" s="4"/>
      <c r="E98" s="4"/>
      <c r="F98" s="4"/>
      <c r="G98" s="4"/>
      <c r="H98" s="4"/>
      <c r="I98" s="4"/>
      <c r="P98" s="43"/>
      <c r="Q98" s="43"/>
      <c r="R98" s="165"/>
      <c r="T98" s="210"/>
      <c r="U98" s="210"/>
      <c r="Y98" s="4"/>
    </row>
    <row r="99" spans="4:25" x14ac:dyDescent="0.3">
      <c r="D99" s="4"/>
      <c r="E99" s="4"/>
      <c r="F99" s="4"/>
      <c r="G99" s="4"/>
      <c r="H99" s="4"/>
      <c r="I99" s="4"/>
      <c r="J99" s="1229"/>
      <c r="K99" s="1229"/>
      <c r="P99" s="43"/>
      <c r="Q99" s="43"/>
      <c r="R99" s="165"/>
      <c r="T99" s="210"/>
      <c r="U99" s="210"/>
      <c r="Y99" s="4"/>
    </row>
    <row r="100" spans="4:25" x14ac:dyDescent="0.3">
      <c r="D100" s="4"/>
      <c r="E100" s="4"/>
      <c r="F100" s="4"/>
      <c r="G100" s="4"/>
      <c r="H100" s="4"/>
      <c r="I100" s="4"/>
      <c r="J100" s="1229"/>
      <c r="K100" s="1729"/>
      <c r="P100" s="43"/>
      <c r="Q100" s="43"/>
      <c r="R100" s="165"/>
      <c r="T100" s="210"/>
      <c r="U100" s="210"/>
      <c r="Y100" s="4"/>
    </row>
    <row r="101" spans="4:25" x14ac:dyDescent="0.3">
      <c r="D101" s="4"/>
      <c r="E101" s="4"/>
      <c r="F101" s="4"/>
      <c r="G101" s="4"/>
      <c r="H101" s="4"/>
      <c r="I101" s="4"/>
      <c r="J101" s="1229"/>
      <c r="K101" s="1729"/>
      <c r="P101" s="43"/>
      <c r="Q101" s="43"/>
      <c r="R101" s="165"/>
      <c r="T101" s="210"/>
      <c r="U101" s="210"/>
      <c r="Y101" s="4"/>
    </row>
    <row r="102" spans="4:25" x14ac:dyDescent="0.3">
      <c r="D102" s="4"/>
      <c r="E102" s="4"/>
      <c r="F102" s="4"/>
      <c r="G102" s="4"/>
      <c r="H102" s="4"/>
      <c r="I102" s="4"/>
      <c r="P102" s="43"/>
      <c r="Q102" s="43"/>
      <c r="R102" s="165"/>
      <c r="T102" s="210"/>
      <c r="U102" s="210"/>
      <c r="Y102" s="4"/>
    </row>
    <row r="103" spans="4:25" x14ac:dyDescent="0.3">
      <c r="D103" s="4"/>
      <c r="E103" s="4"/>
      <c r="F103" s="4"/>
      <c r="G103" s="4"/>
      <c r="H103" s="4"/>
      <c r="I103" s="4"/>
      <c r="P103" s="43"/>
      <c r="Q103" s="43"/>
      <c r="R103" s="165"/>
      <c r="T103" s="210"/>
      <c r="U103" s="210"/>
      <c r="Y103" s="4"/>
    </row>
    <row r="104" spans="4:25" x14ac:dyDescent="0.3">
      <c r="S104" s="4"/>
      <c r="T104" s="4"/>
      <c r="U104" s="4"/>
      <c r="V104" s="4"/>
      <c r="W104" s="4"/>
      <c r="X104" s="4"/>
      <c r="Y104" s="4"/>
    </row>
    <row r="105" spans="4:25" x14ac:dyDescent="0.3">
      <c r="T105" s="4"/>
      <c r="U105" s="4"/>
      <c r="V105" s="4"/>
      <c r="W105" s="4"/>
      <c r="X105" s="4"/>
      <c r="Y105" s="4"/>
    </row>
    <row r="106" spans="4:25" x14ac:dyDescent="0.3">
      <c r="Y106" s="4"/>
    </row>
  </sheetData>
  <mergeCells count="20">
    <mergeCell ref="J5:L5"/>
    <mergeCell ref="M5:O5"/>
    <mergeCell ref="P5:R5"/>
    <mergeCell ref="S5:U5"/>
    <mergeCell ref="O96:Q96"/>
    <mergeCell ref="C22:U22"/>
    <mergeCell ref="C3:U3"/>
    <mergeCell ref="C20:U20"/>
    <mergeCell ref="C21:U21"/>
    <mergeCell ref="I85:K85"/>
    <mergeCell ref="C24:U24"/>
    <mergeCell ref="C46:U46"/>
    <mergeCell ref="C68:U68"/>
    <mergeCell ref="C69:U69"/>
    <mergeCell ref="C70:U70"/>
    <mergeCell ref="C71:U71"/>
    <mergeCell ref="C4:U4"/>
    <mergeCell ref="C5:C6"/>
    <mergeCell ref="D5:F5"/>
    <mergeCell ref="G5:I5"/>
  </mergeCells>
  <pageMargins left="0.70866141732283472" right="0.70866141732283472" top="0.74803149606299213" bottom="0.74803149606299213" header="0.31496062992125984" footer="0.31496062992125984"/>
  <pageSetup paperSize="9" scale="42" orientation="portrait" r:id="rId1"/>
  <drawing r:id="rId2"/>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80B8EA-41A0-4AD6-A56E-DBD11D44339B}">
  <sheetPr>
    <tabColor theme="0"/>
    <pageSetUpPr fitToPage="1"/>
  </sheetPr>
  <dimension ref="B1:AP86"/>
  <sheetViews>
    <sheetView view="pageBreakPreview" zoomScale="60" zoomScaleNormal="70" zoomScalePageLayoutView="55" workbookViewId="0">
      <selection activeCell="U14" sqref="U14"/>
    </sheetView>
  </sheetViews>
  <sheetFormatPr defaultColWidth="9.140625" defaultRowHeight="16.5" x14ac:dyDescent="0.3"/>
  <cols>
    <col min="1" max="3" width="9.140625" style="4"/>
    <col min="4" max="4" width="10" style="4" bestFit="1" customWidth="1"/>
    <col min="5" max="8" width="9.140625" style="4"/>
    <col min="9" max="9" width="10.7109375" style="4" customWidth="1"/>
    <col min="10" max="11" width="9.140625" style="4"/>
    <col min="12" max="12" width="13" style="4" customWidth="1"/>
    <col min="13" max="18" width="9.140625" style="4"/>
    <col min="19" max="19" width="11.140625" style="4" customWidth="1"/>
    <col min="20" max="20" width="15.28515625" style="4" customWidth="1"/>
    <col min="21" max="21" width="20.7109375" style="4" customWidth="1"/>
    <col min="22" max="22" width="14.85546875" style="4" customWidth="1"/>
    <col min="23" max="23" width="20.5703125" style="4" customWidth="1"/>
    <col min="24" max="24" width="14.7109375" style="4" customWidth="1"/>
    <col min="25" max="26" width="9.140625" style="4"/>
    <col min="27" max="27" width="15.42578125" style="4" customWidth="1"/>
    <col min="28" max="31" width="9.140625" style="4"/>
    <col min="32" max="32" width="12.7109375" style="4" customWidth="1"/>
    <col min="33" max="38" width="13.42578125" style="4" customWidth="1"/>
    <col min="39" max="45" width="9.140625" style="4"/>
    <col min="46" max="49" width="9.140625" style="4" customWidth="1"/>
    <col min="50" max="50" width="6.7109375" style="4" customWidth="1"/>
    <col min="51" max="16384" width="9.140625" style="4"/>
  </cols>
  <sheetData>
    <row r="1" spans="2:42" ht="17.25" thickBot="1" x14ac:dyDescent="0.35">
      <c r="AM1" s="2256"/>
    </row>
    <row r="2" spans="2:42" ht="20.25" x14ac:dyDescent="0.3">
      <c r="C2" s="3609" t="s">
        <v>1658</v>
      </c>
      <c r="D2" s="3610"/>
      <c r="E2" s="3610"/>
      <c r="F2" s="3610"/>
      <c r="G2" s="3610"/>
      <c r="H2" s="3610"/>
      <c r="I2" s="3610"/>
      <c r="J2" s="3610"/>
      <c r="K2" s="3610"/>
      <c r="L2" s="3610"/>
      <c r="M2" s="3610"/>
      <c r="N2" s="3610"/>
      <c r="O2" s="3610"/>
      <c r="P2" s="3610"/>
      <c r="Q2" s="3610"/>
      <c r="R2" s="3610"/>
      <c r="S2" s="3611"/>
    </row>
    <row r="3" spans="2:42" x14ac:dyDescent="0.3">
      <c r="C3" s="3612" t="s">
        <v>81</v>
      </c>
      <c r="D3" s="3613"/>
      <c r="E3" s="3613"/>
      <c r="F3" s="3613"/>
      <c r="G3" s="3613"/>
      <c r="H3" s="3613"/>
      <c r="I3" s="3613"/>
      <c r="J3" s="3613"/>
      <c r="K3" s="3613"/>
      <c r="L3" s="3613"/>
      <c r="M3" s="3613"/>
      <c r="N3" s="3613"/>
      <c r="O3" s="3613"/>
      <c r="P3" s="3613"/>
      <c r="Q3" s="3613"/>
      <c r="R3" s="3613"/>
      <c r="S3" s="3614"/>
      <c r="W3" s="165"/>
      <c r="X3" s="165"/>
      <c r="Y3" s="165"/>
      <c r="Z3" s="165"/>
      <c r="AA3" s="165"/>
      <c r="AB3" s="165"/>
      <c r="AC3" s="165"/>
      <c r="AD3" s="165"/>
      <c r="AE3" s="2527"/>
      <c r="AF3" s="2527"/>
      <c r="AG3" s="2527"/>
      <c r="AH3" s="2527"/>
      <c r="AI3" s="2527"/>
      <c r="AJ3" s="2527"/>
      <c r="AK3" s="2527"/>
      <c r="AL3" s="2527"/>
      <c r="AM3" s="801"/>
      <c r="AN3" s="2528"/>
      <c r="AP3" s="2529"/>
    </row>
    <row r="4" spans="2:42" x14ac:dyDescent="0.3">
      <c r="C4" s="86"/>
      <c r="S4" s="87"/>
      <c r="W4" s="165"/>
      <c r="X4" s="165"/>
      <c r="Y4" s="165"/>
      <c r="Z4" s="165"/>
      <c r="AA4" s="165"/>
      <c r="AB4" s="165"/>
      <c r="AC4" s="165"/>
      <c r="AD4" s="165"/>
      <c r="AE4" s="2527"/>
      <c r="AF4" s="2527"/>
      <c r="AG4" s="2527"/>
      <c r="AH4" s="2527"/>
      <c r="AI4" s="2527"/>
      <c r="AJ4" s="2527"/>
      <c r="AK4" s="2527"/>
      <c r="AL4" s="2527"/>
      <c r="AM4" s="801"/>
      <c r="AN4" s="2528"/>
      <c r="AP4" s="2529"/>
    </row>
    <row r="5" spans="2:42" x14ac:dyDescent="0.3">
      <c r="C5" s="86"/>
      <c r="S5" s="87"/>
      <c r="W5" s="165"/>
      <c r="X5" s="165"/>
      <c r="Y5" s="165"/>
      <c r="Z5" s="165"/>
      <c r="AA5" s="165"/>
      <c r="AB5" s="165"/>
      <c r="AC5" s="165"/>
      <c r="AD5" s="165"/>
      <c r="AE5" s="2527"/>
      <c r="AF5" s="2527"/>
      <c r="AG5" s="2527"/>
      <c r="AH5" s="2527"/>
      <c r="AI5" s="2527"/>
      <c r="AJ5" s="2527"/>
      <c r="AK5" s="2527"/>
      <c r="AL5" s="2527"/>
      <c r="AM5" s="801"/>
      <c r="AN5" s="2528"/>
      <c r="AP5" s="2529"/>
    </row>
    <row r="6" spans="2:42" x14ac:dyDescent="0.3">
      <c r="C6" s="86"/>
      <c r="S6" s="87"/>
      <c r="W6" s="165"/>
      <c r="X6" s="165"/>
      <c r="Y6" s="165"/>
      <c r="Z6" s="165"/>
      <c r="AA6" s="165"/>
      <c r="AB6" s="165"/>
      <c r="AC6" s="165"/>
      <c r="AD6" s="165"/>
      <c r="AE6" s="2527"/>
      <c r="AF6" s="2527"/>
      <c r="AG6" s="2527"/>
      <c r="AH6" s="2527"/>
      <c r="AI6" s="2527"/>
      <c r="AJ6" s="2527"/>
      <c r="AK6" s="2527"/>
      <c r="AL6" s="2527"/>
      <c r="AM6" s="801"/>
      <c r="AN6" s="2528"/>
      <c r="AP6" s="2529"/>
    </row>
    <row r="7" spans="2:42" x14ac:dyDescent="0.3">
      <c r="C7" s="86"/>
      <c r="S7" s="87"/>
      <c r="W7" s="165"/>
      <c r="X7" s="165"/>
      <c r="Y7" s="165"/>
      <c r="Z7" s="165"/>
      <c r="AA7" s="165"/>
      <c r="AB7" s="165"/>
      <c r="AC7" s="165"/>
      <c r="AD7" s="165"/>
      <c r="AE7" s="2527"/>
      <c r="AF7" s="2527"/>
      <c r="AG7" s="2527"/>
      <c r="AH7" s="2527"/>
      <c r="AI7" s="2527"/>
      <c r="AJ7" s="2527"/>
      <c r="AK7" s="2527"/>
      <c r="AL7" s="2527"/>
      <c r="AM7" s="801"/>
      <c r="AN7" s="2528"/>
      <c r="AP7" s="2529"/>
    </row>
    <row r="8" spans="2:42" x14ac:dyDescent="0.3">
      <c r="C8" s="86"/>
      <c r="S8" s="87"/>
      <c r="W8" s="165"/>
      <c r="X8" s="165"/>
      <c r="Y8" s="165"/>
      <c r="Z8" s="165"/>
      <c r="AA8" s="165"/>
      <c r="AB8" s="165"/>
      <c r="AC8" s="165"/>
      <c r="AD8" s="165"/>
      <c r="AE8" s="2527"/>
      <c r="AF8" s="2527"/>
      <c r="AG8" s="2527"/>
      <c r="AH8" s="2527"/>
      <c r="AI8" s="2527"/>
      <c r="AJ8" s="2527"/>
      <c r="AK8" s="2527"/>
      <c r="AL8" s="2527"/>
      <c r="AM8" s="801"/>
      <c r="AN8" s="2528"/>
      <c r="AP8" s="2529"/>
    </row>
    <row r="9" spans="2:42" x14ac:dyDescent="0.3">
      <c r="C9" s="86"/>
      <c r="S9" s="87"/>
      <c r="W9" s="165"/>
      <c r="X9" s="165"/>
      <c r="Y9" s="165"/>
      <c r="Z9" s="165"/>
      <c r="AA9" s="165"/>
      <c r="AB9" s="165"/>
      <c r="AC9" s="165"/>
      <c r="AD9" s="165"/>
      <c r="AE9" s="2527"/>
      <c r="AF9" s="2527"/>
      <c r="AG9" s="2527"/>
      <c r="AH9" s="2527"/>
      <c r="AI9" s="2527"/>
      <c r="AJ9" s="2527"/>
      <c r="AK9" s="2527"/>
      <c r="AL9" s="2527"/>
      <c r="AM9" s="801"/>
      <c r="AN9" s="2528"/>
      <c r="AP9" s="2529"/>
    </row>
    <row r="10" spans="2:42" x14ac:dyDescent="0.3">
      <c r="C10" s="86"/>
      <c r="S10" s="87"/>
      <c r="W10" s="165"/>
      <c r="X10" s="165"/>
      <c r="Y10" s="165"/>
      <c r="Z10" s="165"/>
      <c r="AA10" s="165"/>
      <c r="AB10" s="165"/>
      <c r="AC10" s="165"/>
      <c r="AD10" s="165"/>
      <c r="AE10" s="2527"/>
      <c r="AF10" s="2527"/>
      <c r="AG10" s="2527"/>
      <c r="AH10" s="2527"/>
      <c r="AI10" s="2527"/>
      <c r="AJ10" s="2527"/>
      <c r="AK10" s="2527"/>
      <c r="AL10" s="2527"/>
      <c r="AN10" s="2528"/>
      <c r="AP10" s="2529"/>
    </row>
    <row r="11" spans="2:42" x14ac:dyDescent="0.3">
      <c r="C11" s="86"/>
      <c r="S11" s="87"/>
      <c r="W11" s="165"/>
      <c r="X11" s="165"/>
      <c r="Y11" s="165"/>
      <c r="Z11" s="165"/>
      <c r="AA11" s="165"/>
      <c r="AB11" s="165"/>
      <c r="AC11" s="165"/>
      <c r="AD11" s="165"/>
      <c r="AE11" s="2527"/>
      <c r="AF11" s="2527"/>
      <c r="AG11" s="2527"/>
      <c r="AH11" s="2527"/>
      <c r="AI11" s="2527"/>
      <c r="AJ11" s="2527"/>
      <c r="AK11" s="2527"/>
      <c r="AL11" s="2527"/>
      <c r="AN11" s="2528"/>
      <c r="AP11" s="2529"/>
    </row>
    <row r="12" spans="2:42" x14ac:dyDescent="0.3">
      <c r="C12" s="86"/>
      <c r="S12" s="87"/>
      <c r="W12" s="165"/>
      <c r="X12" s="165"/>
      <c r="Y12" s="165"/>
      <c r="Z12" s="165"/>
      <c r="AA12" s="165"/>
      <c r="AB12" s="165"/>
      <c r="AC12" s="165"/>
      <c r="AD12" s="165"/>
      <c r="AE12" s="2527"/>
      <c r="AF12" s="2527"/>
      <c r="AG12" s="2527"/>
      <c r="AH12" s="2527"/>
      <c r="AI12" s="2527"/>
      <c r="AJ12" s="2527"/>
      <c r="AK12" s="2527"/>
      <c r="AL12" s="2527"/>
      <c r="AM12" s="801"/>
      <c r="AN12" s="2528"/>
      <c r="AP12" s="2529"/>
    </row>
    <row r="13" spans="2:42" x14ac:dyDescent="0.3">
      <c r="C13" s="86"/>
      <c r="S13" s="87"/>
      <c r="W13" s="165"/>
      <c r="X13" s="165"/>
      <c r="Y13" s="165"/>
      <c r="Z13" s="165"/>
      <c r="AA13" s="165"/>
      <c r="AB13" s="165"/>
      <c r="AC13" s="165"/>
      <c r="AD13" s="165"/>
      <c r="AE13" s="2527"/>
      <c r="AF13" s="2527"/>
      <c r="AG13" s="2527"/>
      <c r="AH13" s="2527"/>
      <c r="AI13" s="2527"/>
      <c r="AJ13" s="2527"/>
      <c r="AK13" s="2527"/>
      <c r="AL13" s="2527"/>
      <c r="AN13" s="2528"/>
      <c r="AP13" s="2529"/>
    </row>
    <row r="14" spans="2:42" x14ac:dyDescent="0.3">
      <c r="C14" s="86"/>
      <c r="S14" s="87"/>
      <c r="W14" s="165"/>
      <c r="X14" s="165"/>
      <c r="Y14" s="165"/>
      <c r="Z14" s="165"/>
      <c r="AA14" s="165"/>
      <c r="AB14" s="165"/>
      <c r="AC14" s="165"/>
      <c r="AD14" s="165"/>
      <c r="AE14" s="2527"/>
      <c r="AF14" s="2527"/>
      <c r="AG14" s="2527"/>
      <c r="AH14" s="2527"/>
      <c r="AI14" s="2527"/>
      <c r="AJ14" s="2527"/>
      <c r="AK14" s="2527"/>
      <c r="AL14" s="2527"/>
      <c r="AN14" s="2528"/>
    </row>
    <row r="15" spans="2:42" ht="76.5" customHeight="1" x14ac:dyDescent="0.3">
      <c r="B15" s="1454"/>
      <c r="C15" s="86"/>
      <c r="S15" s="87"/>
      <c r="V15" s="2530"/>
      <c r="W15" s="2531"/>
      <c r="X15" s="2531"/>
      <c r="Y15" s="2531"/>
      <c r="Z15" s="2531"/>
      <c r="AA15" s="2531"/>
      <c r="AB15" s="2531"/>
      <c r="AC15" s="2531"/>
      <c r="AD15" s="2531"/>
      <c r="AE15" s="2532"/>
      <c r="AF15" s="2532"/>
      <c r="AG15" s="2532"/>
      <c r="AH15" s="2532"/>
      <c r="AI15" s="2532"/>
      <c r="AJ15" s="2532"/>
      <c r="AK15" s="2532"/>
      <c r="AL15" s="2532"/>
      <c r="AN15" s="113"/>
    </row>
    <row r="16" spans="2:42" x14ac:dyDescent="0.3">
      <c r="C16" s="86"/>
      <c r="S16" s="87"/>
    </row>
    <row r="17" spans="3:33" x14ac:dyDescent="0.3">
      <c r="C17" s="86"/>
      <c r="S17" s="87"/>
    </row>
    <row r="18" spans="3:33" x14ac:dyDescent="0.3">
      <c r="C18" s="86"/>
      <c r="S18" s="87"/>
      <c r="V18" s="2533"/>
    </row>
    <row r="19" spans="3:33" x14ac:dyDescent="0.3">
      <c r="C19" s="86"/>
      <c r="S19" s="87"/>
      <c r="V19" s="801"/>
      <c r="W19" s="165"/>
      <c r="X19" s="165"/>
      <c r="Y19" s="165"/>
      <c r="Z19" s="165"/>
      <c r="AA19" s="165"/>
      <c r="AB19" s="165"/>
      <c r="AC19" s="165"/>
      <c r="AD19" s="165"/>
      <c r="AE19" s="2527"/>
      <c r="AF19" s="2527"/>
      <c r="AG19" s="2527"/>
    </row>
    <row r="20" spans="3:33" x14ac:dyDescent="0.3">
      <c r="C20" s="86"/>
      <c r="S20" s="87"/>
      <c r="V20" s="801"/>
      <c r="W20" s="165"/>
      <c r="X20" s="165"/>
      <c r="Y20" s="165"/>
      <c r="Z20" s="165"/>
      <c r="AA20" s="165"/>
      <c r="AB20" s="165"/>
      <c r="AC20" s="165"/>
      <c r="AD20" s="165"/>
      <c r="AE20" s="2527"/>
      <c r="AF20" s="2527"/>
      <c r="AG20" s="2527"/>
    </row>
    <row r="21" spans="3:33" x14ac:dyDescent="0.3">
      <c r="C21" s="86"/>
      <c r="S21" s="87"/>
      <c r="V21" s="801"/>
      <c r="W21" s="165"/>
      <c r="X21" s="165"/>
      <c r="Y21" s="165"/>
      <c r="Z21" s="165"/>
      <c r="AA21" s="165"/>
      <c r="AB21" s="165"/>
      <c r="AC21" s="165"/>
      <c r="AD21" s="165"/>
      <c r="AE21" s="2527"/>
      <c r="AF21" s="2527"/>
      <c r="AG21" s="2527"/>
    </row>
    <row r="22" spans="3:33" x14ac:dyDescent="0.3">
      <c r="C22" s="86"/>
      <c r="S22" s="87"/>
      <c r="V22" s="801"/>
      <c r="W22" s="165"/>
      <c r="X22" s="165"/>
      <c r="Y22" s="165"/>
      <c r="Z22" s="165"/>
      <c r="AA22" s="165"/>
      <c r="AB22" s="165"/>
      <c r="AC22" s="165"/>
      <c r="AD22" s="165"/>
      <c r="AE22" s="2527"/>
      <c r="AF22" s="2527"/>
      <c r="AG22" s="2527"/>
    </row>
    <row r="23" spans="3:33" x14ac:dyDescent="0.3">
      <c r="C23" s="86"/>
      <c r="S23" s="87"/>
      <c r="V23" s="801"/>
      <c r="W23" s="165"/>
      <c r="X23" s="165"/>
      <c r="Y23" s="165"/>
      <c r="Z23" s="165"/>
      <c r="AA23" s="165"/>
      <c r="AB23" s="165"/>
      <c r="AC23" s="165"/>
      <c r="AD23" s="165"/>
      <c r="AE23" s="2527"/>
      <c r="AF23" s="2527"/>
      <c r="AG23" s="2527"/>
    </row>
    <row r="24" spans="3:33" x14ac:dyDescent="0.3">
      <c r="C24" s="86"/>
      <c r="S24" s="87"/>
      <c r="V24" s="801"/>
      <c r="W24" s="165"/>
      <c r="X24" s="165"/>
      <c r="Y24" s="165"/>
      <c r="Z24" s="165"/>
      <c r="AA24" s="165"/>
      <c r="AB24" s="165"/>
      <c r="AC24" s="165"/>
      <c r="AD24" s="165"/>
      <c r="AE24" s="2527"/>
      <c r="AF24" s="2527"/>
      <c r="AG24" s="2527"/>
    </row>
    <row r="25" spans="3:33" x14ac:dyDescent="0.3">
      <c r="C25" s="86"/>
      <c r="S25" s="87"/>
      <c r="V25" s="801"/>
      <c r="W25" s="165"/>
      <c r="X25" s="165"/>
      <c r="Y25" s="165"/>
      <c r="Z25" s="165"/>
      <c r="AA25" s="165"/>
      <c r="AB25" s="165"/>
      <c r="AC25" s="165"/>
      <c r="AD25" s="165"/>
      <c r="AE25" s="2527"/>
      <c r="AF25" s="2527"/>
      <c r="AG25" s="2527"/>
    </row>
    <row r="26" spans="3:33" x14ac:dyDescent="0.3">
      <c r="C26" s="86"/>
      <c r="S26" s="87"/>
      <c r="V26" s="801"/>
      <c r="W26" s="165"/>
      <c r="X26" s="165"/>
      <c r="Y26" s="165"/>
      <c r="Z26" s="165"/>
      <c r="AA26" s="165"/>
      <c r="AB26" s="165"/>
      <c r="AC26" s="165"/>
      <c r="AD26" s="165"/>
      <c r="AE26" s="2527"/>
      <c r="AF26" s="2527"/>
      <c r="AG26" s="2527"/>
    </row>
    <row r="27" spans="3:33" x14ac:dyDescent="0.3">
      <c r="C27" s="86"/>
      <c r="S27" s="87"/>
      <c r="V27" s="801"/>
      <c r="W27" s="165"/>
      <c r="X27" s="165"/>
      <c r="Y27" s="165"/>
      <c r="Z27" s="165"/>
      <c r="AA27" s="165"/>
      <c r="AB27" s="165"/>
      <c r="AC27" s="165"/>
      <c r="AD27" s="165"/>
      <c r="AE27" s="2527"/>
      <c r="AF27" s="2527"/>
      <c r="AG27" s="2527"/>
    </row>
    <row r="28" spans="3:33" x14ac:dyDescent="0.3">
      <c r="C28" s="86"/>
      <c r="S28" s="87"/>
      <c r="V28" s="801"/>
      <c r="W28" s="165"/>
      <c r="X28" s="165"/>
      <c r="Y28" s="165"/>
      <c r="Z28" s="165"/>
      <c r="AA28" s="165"/>
      <c r="AB28" s="165"/>
      <c r="AC28" s="165"/>
      <c r="AD28" s="165"/>
      <c r="AE28" s="2527"/>
      <c r="AF28" s="2527"/>
      <c r="AG28" s="2527"/>
    </row>
    <row r="29" spans="3:33" ht="17.25" x14ac:dyDescent="0.3">
      <c r="C29" s="3615" t="s">
        <v>1659</v>
      </c>
      <c r="D29" s="3616"/>
      <c r="E29" s="3616"/>
      <c r="F29" s="3616"/>
      <c r="G29" s="3616"/>
      <c r="H29" s="3616"/>
      <c r="I29" s="3616"/>
      <c r="J29" s="3616"/>
      <c r="K29" s="3616"/>
      <c r="L29" s="3616"/>
      <c r="M29" s="3616"/>
      <c r="N29" s="3616"/>
      <c r="O29" s="3616"/>
      <c r="P29" s="544"/>
      <c r="Q29" s="544"/>
      <c r="R29" s="544"/>
      <c r="S29" s="212"/>
      <c r="V29" s="801"/>
      <c r="W29" s="165"/>
      <c r="X29" s="165"/>
      <c r="Y29" s="165"/>
      <c r="Z29" s="165"/>
      <c r="AA29" s="165"/>
      <c r="AB29" s="165"/>
      <c r="AC29" s="165"/>
      <c r="AD29" s="165"/>
      <c r="AE29" s="2527"/>
      <c r="AF29" s="2527"/>
      <c r="AG29" s="2527"/>
    </row>
    <row r="30" spans="3:33" x14ac:dyDescent="0.3">
      <c r="C30" s="3617"/>
      <c r="D30" s="3575"/>
      <c r="E30" s="3575"/>
      <c r="F30" s="3575"/>
      <c r="G30" s="3575"/>
      <c r="H30" s="3575"/>
      <c r="I30" s="3575"/>
      <c r="J30" s="3575"/>
      <c r="K30" s="3575"/>
      <c r="L30" s="3575"/>
      <c r="M30" s="3575"/>
      <c r="N30" s="3575"/>
      <c r="O30" s="3575"/>
      <c r="P30" s="51"/>
      <c r="Q30" s="51"/>
      <c r="R30" s="51"/>
      <c r="S30" s="201"/>
      <c r="V30" s="801"/>
      <c r="W30" s="165"/>
      <c r="X30" s="165"/>
      <c r="Y30" s="165"/>
      <c r="Z30" s="165"/>
      <c r="AA30" s="165"/>
      <c r="AB30" s="165"/>
      <c r="AC30" s="165"/>
      <c r="AD30" s="165"/>
      <c r="AE30" s="2527"/>
      <c r="AF30" s="2527"/>
      <c r="AG30" s="2527"/>
    </row>
    <row r="31" spans="3:33" x14ac:dyDescent="0.3">
      <c r="C31" s="86"/>
      <c r="S31" s="87"/>
      <c r="V31" s="2534"/>
      <c r="W31" s="165"/>
      <c r="X31" s="165"/>
      <c r="Y31" s="165"/>
      <c r="Z31" s="165"/>
      <c r="AA31" s="165"/>
      <c r="AB31" s="165"/>
      <c r="AC31" s="165"/>
      <c r="AD31" s="165"/>
      <c r="AE31" s="2532"/>
      <c r="AF31" s="2532"/>
      <c r="AG31" s="2532"/>
    </row>
    <row r="32" spans="3:33" ht="20.25" x14ac:dyDescent="0.3">
      <c r="C32" s="3618" t="s">
        <v>1660</v>
      </c>
      <c r="D32" s="3619"/>
      <c r="E32" s="3619"/>
      <c r="F32" s="3619"/>
      <c r="G32" s="3619"/>
      <c r="H32" s="3619"/>
      <c r="I32" s="3619"/>
      <c r="J32" s="3619"/>
      <c r="K32" s="3619"/>
      <c r="L32" s="3619"/>
      <c r="M32" s="3619"/>
      <c r="N32" s="3619"/>
      <c r="O32" s="3619"/>
      <c r="P32" s="3619"/>
      <c r="Q32" s="3619"/>
      <c r="R32" s="3619"/>
      <c r="S32" s="3620"/>
    </row>
    <row r="33" spans="3:29" x14ac:dyDescent="0.3">
      <c r="C33" s="86"/>
      <c r="S33" s="87"/>
    </row>
    <row r="34" spans="3:29" x14ac:dyDescent="0.3">
      <c r="C34" s="86"/>
      <c r="S34" s="87"/>
    </row>
    <row r="35" spans="3:29" x14ac:dyDescent="0.3">
      <c r="C35" s="86"/>
      <c r="S35" s="87"/>
    </row>
    <row r="36" spans="3:29" x14ac:dyDescent="0.3">
      <c r="C36" s="86"/>
      <c r="S36" s="87"/>
    </row>
    <row r="37" spans="3:29" x14ac:dyDescent="0.3">
      <c r="C37" s="86"/>
      <c r="S37" s="87"/>
    </row>
    <row r="38" spans="3:29" x14ac:dyDescent="0.3">
      <c r="C38" s="86"/>
      <c r="S38" s="87"/>
    </row>
    <row r="39" spans="3:29" x14ac:dyDescent="0.3">
      <c r="C39" s="86"/>
      <c r="S39" s="87"/>
    </row>
    <row r="40" spans="3:29" x14ac:dyDescent="0.3">
      <c r="C40" s="86"/>
      <c r="S40" s="87"/>
    </row>
    <row r="41" spans="3:29" x14ac:dyDescent="0.3">
      <c r="C41" s="86"/>
      <c r="S41" s="87"/>
    </row>
    <row r="42" spans="3:29" x14ac:dyDescent="0.3">
      <c r="C42" s="86"/>
      <c r="S42" s="87"/>
    </row>
    <row r="43" spans="3:29" x14ac:dyDescent="0.3">
      <c r="C43" s="86"/>
      <c r="S43" s="87"/>
      <c r="V43" s="3575" t="s">
        <v>1091</v>
      </c>
      <c r="W43" s="3575"/>
      <c r="Y43" s="3575" t="s">
        <v>9</v>
      </c>
      <c r="Z43" s="3575"/>
      <c r="AB43" s="3575" t="s">
        <v>2479</v>
      </c>
      <c r="AC43" s="3575"/>
    </row>
    <row r="44" spans="3:29" x14ac:dyDescent="0.3">
      <c r="C44" s="86"/>
      <c r="S44" s="87"/>
      <c r="V44" s="4" t="s">
        <v>1661</v>
      </c>
      <c r="W44" s="4">
        <v>19235.941239999796</v>
      </c>
      <c r="Y44" s="4" t="s">
        <v>1661</v>
      </c>
      <c r="Z44" s="4">
        <v>23246.474514003687</v>
      </c>
      <c r="AB44" s="4" t="s">
        <v>1661</v>
      </c>
      <c r="AC44" s="4">
        <v>29014.180488824062</v>
      </c>
    </row>
    <row r="45" spans="3:29" x14ac:dyDescent="0.3">
      <c r="C45" s="86"/>
      <c r="S45" s="87"/>
      <c r="V45" s="4" t="s">
        <v>1663</v>
      </c>
      <c r="W45" s="4">
        <v>52812.560049999403</v>
      </c>
      <c r="Y45" s="4" t="s">
        <v>1663</v>
      </c>
      <c r="Z45" s="4">
        <v>50812.69915224344</v>
      </c>
      <c r="AB45" s="4" t="s">
        <v>1663</v>
      </c>
      <c r="AC45" s="4">
        <v>63840.008181314872</v>
      </c>
    </row>
    <row r="46" spans="3:29" x14ac:dyDescent="0.3">
      <c r="C46" s="86"/>
      <c r="S46" s="87"/>
      <c r="V46" s="4" t="s">
        <v>1664</v>
      </c>
      <c r="W46" s="4">
        <v>3469.9014400000083</v>
      </c>
      <c r="Y46" s="4" t="s">
        <v>1664</v>
      </c>
      <c r="Z46" s="4">
        <v>4262.6877363719068</v>
      </c>
      <c r="AB46" s="4" t="s">
        <v>1664</v>
      </c>
      <c r="AC46" s="4">
        <v>5644.5223158344506</v>
      </c>
    </row>
    <row r="47" spans="3:29" x14ac:dyDescent="0.3">
      <c r="C47" s="86"/>
      <c r="S47" s="87"/>
      <c r="V47" s="4" t="s">
        <v>1665</v>
      </c>
      <c r="W47" s="4">
        <v>41724.51090999943</v>
      </c>
      <c r="Y47" s="4" t="s">
        <v>1665</v>
      </c>
      <c r="Z47" s="4">
        <v>42697.2104437159</v>
      </c>
      <c r="AB47" s="4" t="s">
        <v>1665</v>
      </c>
      <c r="AC47" s="4">
        <v>57962.16722454891</v>
      </c>
    </row>
    <row r="48" spans="3:29" x14ac:dyDescent="0.3">
      <c r="C48" s="86"/>
      <c r="S48" s="87"/>
      <c r="V48" s="4" t="s">
        <v>1662</v>
      </c>
      <c r="W48" s="4">
        <v>48410.405609999543</v>
      </c>
      <c r="Y48" s="4" t="s">
        <v>1662</v>
      </c>
      <c r="Z48" s="4">
        <v>51590.898164879487</v>
      </c>
      <c r="AB48" s="4" t="s">
        <v>1662</v>
      </c>
      <c r="AC48" s="4">
        <v>67019.432936241967</v>
      </c>
    </row>
    <row r="49" spans="3:19" x14ac:dyDescent="0.3">
      <c r="C49" s="86"/>
      <c r="S49" s="87"/>
    </row>
    <row r="50" spans="3:19" x14ac:dyDescent="0.3">
      <c r="C50" s="86"/>
      <c r="S50" s="87"/>
    </row>
    <row r="51" spans="3:19" x14ac:dyDescent="0.3">
      <c r="C51" s="86"/>
      <c r="S51" s="87"/>
    </row>
    <row r="52" spans="3:19" x14ac:dyDescent="0.3">
      <c r="C52" s="86"/>
      <c r="E52" s="3608"/>
      <c r="F52" s="3608"/>
      <c r="G52" s="3608"/>
      <c r="H52" s="3608"/>
      <c r="I52" s="3608"/>
      <c r="J52" s="3608"/>
      <c r="K52" s="3608"/>
      <c r="L52" s="3608"/>
      <c r="M52" s="3608"/>
      <c r="N52" s="3608"/>
      <c r="O52" s="3608"/>
      <c r="P52" s="3608"/>
      <c r="Q52" s="3608"/>
      <c r="S52" s="87"/>
    </row>
    <row r="53" spans="3:19" x14ac:dyDescent="0.3">
      <c r="C53" s="86"/>
      <c r="E53" s="3608"/>
      <c r="F53" s="3608"/>
      <c r="G53" s="3608"/>
      <c r="H53" s="3608"/>
      <c r="I53" s="3608"/>
      <c r="J53" s="3608"/>
      <c r="K53" s="3608"/>
      <c r="L53" s="3608"/>
      <c r="M53" s="3608"/>
      <c r="N53" s="3608"/>
      <c r="O53" s="3608"/>
      <c r="P53" s="3608"/>
      <c r="Q53" s="3608"/>
      <c r="S53" s="87"/>
    </row>
    <row r="54" spans="3:19" x14ac:dyDescent="0.3">
      <c r="C54" s="86"/>
      <c r="E54" s="3608"/>
      <c r="F54" s="3608"/>
      <c r="G54" s="3608"/>
      <c r="H54" s="3608"/>
      <c r="I54" s="3608"/>
      <c r="J54" s="3608"/>
      <c r="K54" s="3608"/>
      <c r="L54" s="3608"/>
      <c r="M54" s="3608"/>
      <c r="N54" s="3608"/>
      <c r="O54" s="3608"/>
      <c r="P54" s="3608"/>
      <c r="Q54" s="3608"/>
      <c r="S54" s="87"/>
    </row>
    <row r="55" spans="3:19" x14ac:dyDescent="0.3">
      <c r="C55" s="86"/>
      <c r="E55" s="3608"/>
      <c r="F55" s="3608"/>
      <c r="G55" s="3608"/>
      <c r="H55" s="3608"/>
      <c r="I55" s="3608"/>
      <c r="J55" s="3608"/>
      <c r="K55" s="3608"/>
      <c r="L55" s="3608"/>
      <c r="M55" s="3608"/>
      <c r="N55" s="3608"/>
      <c r="O55" s="3608"/>
      <c r="P55" s="3608"/>
      <c r="Q55" s="3608"/>
      <c r="S55" s="87"/>
    </row>
    <row r="56" spans="3:19" x14ac:dyDescent="0.3">
      <c r="C56" s="86"/>
      <c r="E56" s="3608"/>
      <c r="F56" s="3608"/>
      <c r="G56" s="3608"/>
      <c r="H56" s="3608"/>
      <c r="I56" s="3608"/>
      <c r="J56" s="3608"/>
      <c r="K56" s="3608"/>
      <c r="L56" s="3608"/>
      <c r="M56" s="3608"/>
      <c r="N56" s="3608"/>
      <c r="O56" s="3608"/>
      <c r="P56" s="3608"/>
      <c r="Q56" s="3608"/>
      <c r="S56" s="87"/>
    </row>
    <row r="57" spans="3:19" x14ac:dyDescent="0.3">
      <c r="C57" s="86"/>
      <c r="E57" s="3608"/>
      <c r="F57" s="3608"/>
      <c r="G57" s="3608"/>
      <c r="H57" s="3608"/>
      <c r="I57" s="3608"/>
      <c r="J57" s="3608"/>
      <c r="K57" s="3608"/>
      <c r="L57" s="3608"/>
      <c r="M57" s="3608"/>
      <c r="N57" s="3608"/>
      <c r="O57" s="3608"/>
      <c r="P57" s="3608"/>
      <c r="Q57" s="3608"/>
      <c r="S57" s="87"/>
    </row>
    <row r="58" spans="3:19" x14ac:dyDescent="0.3">
      <c r="C58" s="86"/>
      <c r="E58" s="3608"/>
      <c r="F58" s="3608"/>
      <c r="G58" s="3608"/>
      <c r="H58" s="3608"/>
      <c r="I58" s="3608"/>
      <c r="J58" s="3608"/>
      <c r="K58" s="3608"/>
      <c r="L58" s="3608"/>
      <c r="M58" s="3608"/>
      <c r="N58" s="3608"/>
      <c r="O58" s="3608"/>
      <c r="P58" s="3608"/>
      <c r="Q58" s="3608"/>
      <c r="S58" s="87"/>
    </row>
    <row r="59" spans="3:19" x14ac:dyDescent="0.3">
      <c r="C59" s="86"/>
      <c r="E59" s="3608"/>
      <c r="F59" s="3608"/>
      <c r="G59" s="3608"/>
      <c r="H59" s="3608"/>
      <c r="I59" s="3608"/>
      <c r="J59" s="3608"/>
      <c r="K59" s="3608"/>
      <c r="L59" s="3608"/>
      <c r="M59" s="3608"/>
      <c r="N59" s="3608"/>
      <c r="O59" s="3608"/>
      <c r="P59" s="3608"/>
      <c r="Q59" s="3608"/>
      <c r="S59" s="87"/>
    </row>
    <row r="60" spans="3:19" x14ac:dyDescent="0.3">
      <c r="C60" s="86"/>
      <c r="E60" s="3608"/>
      <c r="F60" s="3608"/>
      <c r="G60" s="3608"/>
      <c r="H60" s="3608"/>
      <c r="I60" s="3608"/>
      <c r="J60" s="3608"/>
      <c r="K60" s="3608"/>
      <c r="L60" s="3608"/>
      <c r="M60" s="3608"/>
      <c r="N60" s="3608"/>
      <c r="O60" s="3608"/>
      <c r="P60" s="3608"/>
      <c r="Q60" s="3608"/>
      <c r="S60" s="87"/>
    </row>
    <row r="61" spans="3:19" x14ac:dyDescent="0.3">
      <c r="C61" s="86"/>
      <c r="E61" s="3608"/>
      <c r="F61" s="3608"/>
      <c r="G61" s="3608"/>
      <c r="H61" s="3608"/>
      <c r="I61" s="3608"/>
      <c r="J61" s="3608"/>
      <c r="K61" s="3608"/>
      <c r="L61" s="3608"/>
      <c r="M61" s="3608"/>
      <c r="N61" s="3608"/>
      <c r="O61" s="3608"/>
      <c r="P61" s="3608"/>
      <c r="Q61" s="3608"/>
      <c r="S61" s="87"/>
    </row>
    <row r="62" spans="3:19" x14ac:dyDescent="0.3">
      <c r="C62" s="86"/>
      <c r="E62" s="3608"/>
      <c r="F62" s="3608"/>
      <c r="G62" s="3608"/>
      <c r="H62" s="3608"/>
      <c r="I62" s="3608"/>
      <c r="J62" s="3608"/>
      <c r="K62" s="3608"/>
      <c r="L62" s="3608"/>
      <c r="M62" s="3608"/>
      <c r="N62" s="3608"/>
      <c r="O62" s="3608"/>
      <c r="P62" s="3608"/>
      <c r="Q62" s="3608"/>
      <c r="S62" s="87"/>
    </row>
    <row r="63" spans="3:19" x14ac:dyDescent="0.3">
      <c r="C63" s="86"/>
      <c r="S63" s="87"/>
    </row>
    <row r="64" spans="3:19" ht="1.5" customHeight="1" x14ac:dyDescent="0.3">
      <c r="C64" s="86"/>
      <c r="S64" s="87"/>
    </row>
    <row r="65" spans="3:27" x14ac:dyDescent="0.3">
      <c r="C65" s="86"/>
      <c r="S65" s="87"/>
    </row>
    <row r="66" spans="3:27" x14ac:dyDescent="0.3">
      <c r="C66" s="86"/>
      <c r="S66" s="87"/>
    </row>
    <row r="67" spans="3:27" x14ac:dyDescent="0.3">
      <c r="C67" s="86"/>
      <c r="S67" s="87"/>
    </row>
    <row r="68" spans="3:27" ht="17.25" thickBot="1" x14ac:dyDescent="0.35">
      <c r="C68" s="496"/>
      <c r="D68" s="88"/>
      <c r="E68" s="88"/>
      <c r="F68" s="88"/>
      <c r="G68" s="88"/>
      <c r="H68" s="88"/>
      <c r="I68" s="88"/>
      <c r="J68" s="88"/>
      <c r="K68" s="88"/>
      <c r="L68" s="88"/>
      <c r="M68" s="88"/>
      <c r="N68" s="88"/>
      <c r="O68" s="88"/>
      <c r="P68" s="88"/>
      <c r="Q68" s="88"/>
      <c r="R68" s="88"/>
      <c r="S68" s="89"/>
    </row>
    <row r="72" spans="3:27" x14ac:dyDescent="0.3">
      <c r="U72" s="213"/>
      <c r="V72" s="113"/>
      <c r="W72" s="43"/>
      <c r="X72" s="113"/>
      <c r="AA72" s="214"/>
    </row>
    <row r="73" spans="3:27" x14ac:dyDescent="0.3">
      <c r="U73" s="213"/>
      <c r="V73" s="113"/>
      <c r="W73" s="43"/>
      <c r="AA73" s="214"/>
    </row>
    <row r="74" spans="3:27" x14ac:dyDescent="0.3">
      <c r="D74" s="215"/>
      <c r="E74" s="215"/>
      <c r="F74" s="215"/>
      <c r="I74" s="215"/>
      <c r="L74" s="215"/>
      <c r="O74" s="215"/>
      <c r="P74" s="215"/>
      <c r="Q74" s="215"/>
      <c r="R74" s="215"/>
      <c r="S74" s="215"/>
      <c r="U74" s="213"/>
      <c r="V74" s="113"/>
      <c r="W74" s="43"/>
      <c r="AA74" s="214"/>
    </row>
    <row r="75" spans="3:27" x14ac:dyDescent="0.3">
      <c r="D75" s="215"/>
      <c r="E75" s="215"/>
      <c r="F75" s="215"/>
      <c r="I75" s="215"/>
      <c r="L75" s="215"/>
      <c r="O75" s="215"/>
      <c r="P75" s="215"/>
      <c r="Q75" s="215"/>
      <c r="R75" s="215"/>
      <c r="S75" s="215"/>
      <c r="U75" s="213"/>
      <c r="V75" s="113"/>
      <c r="W75" s="43"/>
      <c r="AA75" s="214"/>
    </row>
    <row r="76" spans="3:27" x14ac:dyDescent="0.3">
      <c r="D76" s="215"/>
      <c r="E76" s="215"/>
      <c r="F76" s="215"/>
      <c r="I76" s="215"/>
      <c r="L76" s="215"/>
      <c r="O76" s="215"/>
      <c r="P76" s="215"/>
      <c r="Q76" s="215"/>
      <c r="R76" s="215"/>
      <c r="S76" s="215"/>
      <c r="U76" s="213"/>
      <c r="V76" s="113"/>
      <c r="W76" s="43"/>
      <c r="AA76" s="214"/>
    </row>
    <row r="77" spans="3:27" x14ac:dyDescent="0.3">
      <c r="D77" s="215"/>
      <c r="E77" s="215"/>
      <c r="F77" s="215"/>
      <c r="I77" s="215"/>
      <c r="L77" s="215"/>
      <c r="O77" s="215"/>
      <c r="P77" s="215"/>
      <c r="Q77" s="215"/>
      <c r="R77" s="215"/>
      <c r="S77" s="215"/>
      <c r="U77" s="213"/>
      <c r="V77" s="113"/>
      <c r="W77" s="43"/>
      <c r="X77" s="113"/>
    </row>
    <row r="78" spans="3:27" x14ac:dyDescent="0.3">
      <c r="D78" s="215"/>
      <c r="E78" s="215"/>
      <c r="F78" s="215"/>
      <c r="I78" s="215"/>
      <c r="L78" s="215"/>
      <c r="O78" s="215"/>
      <c r="P78" s="215"/>
      <c r="Q78" s="215"/>
      <c r="R78" s="215"/>
      <c r="S78" s="215"/>
      <c r="U78" s="213"/>
      <c r="V78" s="113"/>
      <c r="W78" s="43"/>
    </row>
    <row r="79" spans="3:27" x14ac:dyDescent="0.3">
      <c r="U79" s="213"/>
      <c r="V79" s="113"/>
      <c r="W79" s="43"/>
    </row>
    <row r="80" spans="3:27" x14ac:dyDescent="0.3">
      <c r="U80" s="213"/>
      <c r="V80" s="113"/>
      <c r="W80" s="43"/>
    </row>
    <row r="81" spans="21:24" x14ac:dyDescent="0.3">
      <c r="U81" s="213"/>
      <c r="V81" s="113"/>
      <c r="W81" s="43"/>
    </row>
    <row r="82" spans="21:24" x14ac:dyDescent="0.3">
      <c r="U82" s="213"/>
      <c r="V82" s="113"/>
      <c r="W82" s="43"/>
      <c r="X82" s="113"/>
    </row>
    <row r="83" spans="21:24" x14ac:dyDescent="0.3">
      <c r="U83" s="213"/>
      <c r="V83" s="113"/>
      <c r="W83" s="43"/>
    </row>
    <row r="84" spans="21:24" x14ac:dyDescent="0.3">
      <c r="U84" s="213"/>
      <c r="V84" s="113"/>
      <c r="W84" s="43"/>
    </row>
    <row r="85" spans="21:24" x14ac:dyDescent="0.3">
      <c r="U85" s="213"/>
      <c r="V85" s="113"/>
      <c r="W85" s="43"/>
    </row>
    <row r="86" spans="21:24" x14ac:dyDescent="0.3">
      <c r="U86" s="213"/>
      <c r="V86" s="113"/>
      <c r="W86" s="43"/>
    </row>
  </sheetData>
  <mergeCells count="9">
    <mergeCell ref="V43:W43"/>
    <mergeCell ref="Y43:Z43"/>
    <mergeCell ref="AB43:AC43"/>
    <mergeCell ref="E52:Q62"/>
    <mergeCell ref="C2:S2"/>
    <mergeCell ref="C3:S3"/>
    <mergeCell ref="C29:O29"/>
    <mergeCell ref="C30:O30"/>
    <mergeCell ref="C32:S32"/>
  </mergeCells>
  <pageMargins left="0.70866141732283472" right="0.70866141732283472" top="0.74803149606299213" bottom="0.74803149606299213" header="0.31496062992125984" footer="0.31496062992125984"/>
  <pageSetup paperSize="9" scale="53" orientation="portrait" r:id="rId1"/>
  <drawing r:id="rId2"/>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2BC79F-F394-46BD-8CFF-346FC2E23D3D}">
  <sheetPr>
    <tabColor theme="0"/>
    <pageSetUpPr fitToPage="1"/>
  </sheetPr>
  <dimension ref="A1"/>
  <sheetViews>
    <sheetView view="pageBreakPreview" zoomScale="90" zoomScaleNormal="100" zoomScaleSheetLayoutView="90" workbookViewId="0">
      <selection activeCell="B81" sqref="B81"/>
    </sheetView>
  </sheetViews>
  <sheetFormatPr defaultRowHeight="15" x14ac:dyDescent="0.25"/>
  <sheetData/>
  <pageMargins left="0.70866141732283472" right="0.70866141732283472" top="0.74803149606299213" bottom="0.74803149606299213" header="0.31496062992125984" footer="0.31496062992125984"/>
  <pageSetup scale="64" orientation="landscape" horizontalDpi="300" verticalDpi="300" r:id="rId1"/>
  <drawing r:id="rId2"/>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3F5270-A310-4E2A-8E2B-2C429AEA8A3C}">
  <sheetPr>
    <tabColor theme="0"/>
    <pageSetUpPr fitToPage="1"/>
  </sheetPr>
  <dimension ref="A1:F64"/>
  <sheetViews>
    <sheetView view="pageLayout" zoomScale="80" zoomScaleNormal="100" zoomScalePageLayoutView="80" workbookViewId="0">
      <selection activeCell="B2" sqref="B2:F2"/>
    </sheetView>
  </sheetViews>
  <sheetFormatPr defaultColWidth="9.140625" defaultRowHeight="16.5" x14ac:dyDescent="0.3"/>
  <cols>
    <col min="1" max="1" width="9.140625" style="4"/>
    <col min="2" max="2" width="41.85546875" style="4" customWidth="1"/>
    <col min="3" max="4" width="19.140625" style="51" customWidth="1"/>
    <col min="5" max="5" width="17" style="51" customWidth="1"/>
    <col min="6" max="6" width="23.5703125" style="51" customWidth="1"/>
    <col min="7" max="16384" width="9.140625" style="4"/>
  </cols>
  <sheetData>
    <row r="1" spans="1:6" ht="17.25" thickBot="1" x14ac:dyDescent="0.35">
      <c r="A1" s="57" t="s">
        <v>296</v>
      </c>
    </row>
    <row r="2" spans="1:6" ht="36.75" customHeight="1" x14ac:dyDescent="0.3">
      <c r="B2" s="3621" t="s">
        <v>2560</v>
      </c>
      <c r="C2" s="3622"/>
      <c r="D2" s="3622"/>
      <c r="E2" s="3622"/>
      <c r="F2" s="3623"/>
    </row>
    <row r="3" spans="1:6" x14ac:dyDescent="0.3">
      <c r="B3" s="3624"/>
      <c r="C3" s="3560"/>
      <c r="D3" s="3560"/>
      <c r="E3" s="3560"/>
      <c r="F3" s="3625"/>
    </row>
    <row r="4" spans="1:6" ht="45" x14ac:dyDescent="0.3">
      <c r="B4" s="545" t="s">
        <v>1477</v>
      </c>
      <c r="C4" s="54" t="s">
        <v>1666</v>
      </c>
      <c r="D4" s="54" t="s">
        <v>1667</v>
      </c>
      <c r="E4" s="54" t="s">
        <v>1668</v>
      </c>
      <c r="F4" s="1251" t="s">
        <v>1669</v>
      </c>
    </row>
    <row r="5" spans="1:6" x14ac:dyDescent="0.3">
      <c r="B5" s="175" t="s">
        <v>1484</v>
      </c>
      <c r="C5" s="1230">
        <v>11</v>
      </c>
      <c r="D5" s="1230">
        <v>16</v>
      </c>
      <c r="E5" s="1230">
        <v>4</v>
      </c>
      <c r="F5" s="1230">
        <v>30</v>
      </c>
    </row>
    <row r="6" spans="1:6" x14ac:dyDescent="0.3">
      <c r="B6" s="175" t="s">
        <v>1485</v>
      </c>
      <c r="C6" s="1230">
        <v>272</v>
      </c>
      <c r="D6" s="1230">
        <v>333</v>
      </c>
      <c r="E6" s="1230">
        <v>0</v>
      </c>
      <c r="F6" s="1230">
        <v>706</v>
      </c>
    </row>
    <row r="7" spans="1:6" x14ac:dyDescent="0.3">
      <c r="B7" s="175" t="s">
        <v>507</v>
      </c>
      <c r="C7" s="1230">
        <v>502</v>
      </c>
      <c r="D7" s="1230">
        <v>1328</v>
      </c>
      <c r="E7" s="1230">
        <v>1</v>
      </c>
      <c r="F7" s="1230">
        <v>1637</v>
      </c>
    </row>
    <row r="8" spans="1:6" x14ac:dyDescent="0.3">
      <c r="B8" s="175" t="s">
        <v>538</v>
      </c>
      <c r="C8" s="1230">
        <v>30</v>
      </c>
      <c r="D8" s="1230">
        <v>256</v>
      </c>
      <c r="E8" s="1230">
        <v>0</v>
      </c>
      <c r="F8" s="1230">
        <v>268</v>
      </c>
    </row>
    <row r="9" spans="1:6" x14ac:dyDescent="0.3">
      <c r="B9" s="175" t="s">
        <v>1486</v>
      </c>
      <c r="C9" s="1230">
        <v>3</v>
      </c>
      <c r="D9" s="1230">
        <v>232</v>
      </c>
      <c r="E9" s="1230">
        <v>1</v>
      </c>
      <c r="F9" s="1230">
        <v>218</v>
      </c>
    </row>
    <row r="10" spans="1:6" x14ac:dyDescent="0.3">
      <c r="B10" s="175" t="s">
        <v>1488</v>
      </c>
      <c r="C10" s="1230">
        <v>0</v>
      </c>
      <c r="D10" s="1230">
        <v>25</v>
      </c>
      <c r="E10" s="1230">
        <v>0</v>
      </c>
      <c r="F10" s="1230">
        <v>23</v>
      </c>
    </row>
    <row r="11" spans="1:6" x14ac:dyDescent="0.3">
      <c r="B11" s="175" t="s">
        <v>645</v>
      </c>
      <c r="C11" s="1230">
        <v>305</v>
      </c>
      <c r="D11" s="1230">
        <v>1182</v>
      </c>
      <c r="E11" s="1230">
        <v>4</v>
      </c>
      <c r="F11" s="1230">
        <v>1308</v>
      </c>
    </row>
    <row r="12" spans="1:6" x14ac:dyDescent="0.3">
      <c r="B12" s="175" t="s">
        <v>223</v>
      </c>
      <c r="C12" s="1230">
        <v>458</v>
      </c>
      <c r="D12" s="1230">
        <v>2187</v>
      </c>
      <c r="E12" s="1230">
        <v>17</v>
      </c>
      <c r="F12" s="1230">
        <v>2384</v>
      </c>
    </row>
    <row r="13" spans="1:6" x14ac:dyDescent="0.3">
      <c r="B13" s="176" t="s">
        <v>709</v>
      </c>
      <c r="C13" s="1230">
        <v>1327</v>
      </c>
      <c r="D13" s="1230">
        <v>3274</v>
      </c>
      <c r="E13" s="1230">
        <v>24</v>
      </c>
      <c r="F13" s="1230">
        <v>4166</v>
      </c>
    </row>
    <row r="14" spans="1:6" x14ac:dyDescent="0.3">
      <c r="B14" s="175" t="s">
        <v>757</v>
      </c>
      <c r="C14" s="1230">
        <v>63</v>
      </c>
      <c r="D14" s="1230">
        <v>273</v>
      </c>
      <c r="E14" s="1230">
        <v>4</v>
      </c>
      <c r="F14" s="1230">
        <v>314</v>
      </c>
    </row>
    <row r="15" spans="1:6" ht="19.5" customHeight="1" x14ac:dyDescent="0.3">
      <c r="B15" s="177" t="s">
        <v>1489</v>
      </c>
      <c r="C15" s="56">
        <f>SUM(C5:C14)</f>
        <v>2971</v>
      </c>
      <c r="D15" s="56">
        <f>SUM(D5:D14)</f>
        <v>9106</v>
      </c>
      <c r="E15" s="56">
        <f>SUM(E5:E14)</f>
        <v>55</v>
      </c>
      <c r="F15" s="1237">
        <f>SUM(F5:F14)</f>
        <v>11054</v>
      </c>
    </row>
    <row r="16" spans="1:6" x14ac:dyDescent="0.3">
      <c r="B16" s="175" t="s">
        <v>1490</v>
      </c>
      <c r="C16" s="1230">
        <v>0</v>
      </c>
      <c r="D16" s="1230">
        <v>8</v>
      </c>
      <c r="E16" s="1230">
        <v>0</v>
      </c>
      <c r="F16" s="1230">
        <v>8</v>
      </c>
    </row>
    <row r="17" spans="2:6" x14ac:dyDescent="0.3">
      <c r="B17" s="175" t="s">
        <v>426</v>
      </c>
      <c r="C17" s="1230">
        <v>247</v>
      </c>
      <c r="D17" s="1230">
        <v>764</v>
      </c>
      <c r="E17" s="1230">
        <v>0</v>
      </c>
      <c r="F17" s="1230">
        <v>950</v>
      </c>
    </row>
    <row r="18" spans="2:6" x14ac:dyDescent="0.3">
      <c r="B18" s="175" t="s">
        <v>541</v>
      </c>
      <c r="C18" s="1230">
        <v>160</v>
      </c>
      <c r="D18" s="1230">
        <v>428</v>
      </c>
      <c r="E18" s="1230">
        <v>0</v>
      </c>
      <c r="F18" s="1230">
        <v>540</v>
      </c>
    </row>
    <row r="19" spans="2:6" x14ac:dyDescent="0.3">
      <c r="B19" s="175" t="s">
        <v>631</v>
      </c>
      <c r="C19" s="1230">
        <v>186</v>
      </c>
      <c r="D19" s="1230">
        <v>795</v>
      </c>
      <c r="E19" s="1230">
        <v>1</v>
      </c>
      <c r="F19" s="1230">
        <v>866</v>
      </c>
    </row>
    <row r="20" spans="2:6" x14ac:dyDescent="0.3">
      <c r="B20" s="175" t="s">
        <v>225</v>
      </c>
      <c r="C20" s="1230">
        <v>239</v>
      </c>
      <c r="D20" s="1230">
        <v>1226</v>
      </c>
      <c r="E20" s="1230">
        <v>29</v>
      </c>
      <c r="F20" s="1230">
        <v>1299</v>
      </c>
    </row>
    <row r="21" spans="2:6" x14ac:dyDescent="0.3">
      <c r="B21" s="177" t="s">
        <v>1491</v>
      </c>
      <c r="C21" s="56">
        <f>SUM(C16:C20)</f>
        <v>832</v>
      </c>
      <c r="D21" s="56">
        <f>SUM(D16:D20)</f>
        <v>3221</v>
      </c>
      <c r="E21" s="56">
        <f>SUM(E16:E20)</f>
        <v>30</v>
      </c>
      <c r="F21" s="1237">
        <f>SUM(F16:F20)</f>
        <v>3663</v>
      </c>
    </row>
    <row r="22" spans="2:6" x14ac:dyDescent="0.3">
      <c r="B22" s="175" t="s">
        <v>220</v>
      </c>
      <c r="C22" s="1230">
        <v>0</v>
      </c>
      <c r="D22" s="1230">
        <v>60</v>
      </c>
      <c r="E22" s="1230">
        <v>0</v>
      </c>
      <c r="F22" s="1230">
        <v>59</v>
      </c>
    </row>
    <row r="23" spans="2:6" x14ac:dyDescent="0.3">
      <c r="B23" s="175" t="s">
        <v>331</v>
      </c>
      <c r="C23" s="1230">
        <v>55</v>
      </c>
      <c r="D23" s="1230">
        <v>649</v>
      </c>
      <c r="E23" s="1230">
        <v>0</v>
      </c>
      <c r="F23" s="1230">
        <v>661</v>
      </c>
    </row>
    <row r="24" spans="2:6" x14ac:dyDescent="0.3">
      <c r="B24" s="175" t="s">
        <v>1492</v>
      </c>
      <c r="C24" s="1230">
        <v>0</v>
      </c>
      <c r="D24" s="1230">
        <v>71</v>
      </c>
      <c r="E24" s="1230">
        <v>0</v>
      </c>
      <c r="F24" s="1230">
        <v>71</v>
      </c>
    </row>
    <row r="25" spans="2:6" x14ac:dyDescent="0.3">
      <c r="B25" s="175" t="s">
        <v>1493</v>
      </c>
      <c r="C25" s="1230">
        <v>5</v>
      </c>
      <c r="D25" s="1230">
        <v>83</v>
      </c>
      <c r="E25" s="1230">
        <v>0</v>
      </c>
      <c r="F25" s="1230">
        <v>85</v>
      </c>
    </row>
    <row r="26" spans="2:6" x14ac:dyDescent="0.3">
      <c r="B26" s="175" t="s">
        <v>1494</v>
      </c>
      <c r="C26" s="1230">
        <v>0</v>
      </c>
      <c r="D26" s="1230">
        <v>30</v>
      </c>
      <c r="E26" s="1230">
        <v>0</v>
      </c>
      <c r="F26" s="1230">
        <v>29</v>
      </c>
    </row>
    <row r="27" spans="2:6" x14ac:dyDescent="0.3">
      <c r="B27" s="175" t="s">
        <v>1495</v>
      </c>
      <c r="C27" s="1230">
        <v>0</v>
      </c>
      <c r="D27" s="1230">
        <v>53</v>
      </c>
      <c r="E27" s="1230">
        <v>0</v>
      </c>
      <c r="F27" s="1230">
        <v>52</v>
      </c>
    </row>
    <row r="28" spans="2:6" x14ac:dyDescent="0.3">
      <c r="B28" s="175" t="s">
        <v>1496</v>
      </c>
      <c r="C28" s="1230">
        <v>0</v>
      </c>
      <c r="D28" s="1230">
        <v>13</v>
      </c>
      <c r="E28" s="1230">
        <v>0</v>
      </c>
      <c r="F28" s="1230">
        <v>13</v>
      </c>
    </row>
    <row r="29" spans="2:6" x14ac:dyDescent="0.3">
      <c r="B29" s="175" t="s">
        <v>390</v>
      </c>
      <c r="C29" s="1230">
        <v>27</v>
      </c>
      <c r="D29" s="1230">
        <v>63</v>
      </c>
      <c r="E29" s="1230">
        <v>0</v>
      </c>
      <c r="F29" s="1230">
        <v>83</v>
      </c>
    </row>
    <row r="30" spans="2:6" x14ac:dyDescent="0.3">
      <c r="B30" s="177" t="s">
        <v>1497</v>
      </c>
      <c r="C30" s="56">
        <f>SUM(C22:C29)</f>
        <v>87</v>
      </c>
      <c r="D30" s="56">
        <f>SUM(D22:D29)</f>
        <v>1022</v>
      </c>
      <c r="E30" s="56">
        <f>SUM(E22:E29)</f>
        <v>0</v>
      </c>
      <c r="F30" s="1237">
        <f>SUM(F22:F29)</f>
        <v>1053</v>
      </c>
    </row>
    <row r="31" spans="2:6" x14ac:dyDescent="0.3">
      <c r="B31" s="175" t="s">
        <v>452</v>
      </c>
      <c r="C31" s="1230">
        <v>65</v>
      </c>
      <c r="D31" s="1230">
        <v>612</v>
      </c>
      <c r="E31" s="1230">
        <v>4</v>
      </c>
      <c r="F31" s="1230">
        <v>618</v>
      </c>
    </row>
    <row r="32" spans="2:6" ht="19.5" customHeight="1" x14ac:dyDescent="0.3">
      <c r="B32" s="157" t="s">
        <v>1498</v>
      </c>
      <c r="C32" s="1230">
        <v>11</v>
      </c>
      <c r="D32" s="1230">
        <v>18</v>
      </c>
      <c r="E32" s="1230">
        <v>0</v>
      </c>
      <c r="F32" s="1230">
        <v>22</v>
      </c>
    </row>
    <row r="33" spans="2:6" x14ac:dyDescent="0.3">
      <c r="B33" s="175" t="s">
        <v>466</v>
      </c>
      <c r="C33" s="1230">
        <v>19</v>
      </c>
      <c r="D33" s="1230">
        <v>84</v>
      </c>
      <c r="E33" s="1230">
        <v>0</v>
      </c>
      <c r="F33" s="1230">
        <v>93</v>
      </c>
    </row>
    <row r="34" spans="2:6" x14ac:dyDescent="0.3">
      <c r="B34" s="175" t="s">
        <v>822</v>
      </c>
      <c r="C34" s="1230">
        <v>774</v>
      </c>
      <c r="D34" s="1230">
        <v>1847</v>
      </c>
      <c r="E34" s="1230">
        <v>17</v>
      </c>
      <c r="F34" s="1230">
        <v>2356</v>
      </c>
    </row>
    <row r="35" spans="2:6" x14ac:dyDescent="0.3">
      <c r="B35" s="175" t="s">
        <v>578</v>
      </c>
      <c r="C35" s="1230">
        <v>407</v>
      </c>
      <c r="D35" s="1230">
        <v>1564</v>
      </c>
      <c r="E35" s="1230">
        <v>14</v>
      </c>
      <c r="F35" s="1230">
        <v>1772</v>
      </c>
    </row>
    <row r="36" spans="2:6" x14ac:dyDescent="0.3">
      <c r="B36" s="175" t="s">
        <v>606</v>
      </c>
      <c r="C36" s="1230">
        <v>1073</v>
      </c>
      <c r="D36" s="1230">
        <v>2528</v>
      </c>
      <c r="E36" s="1230">
        <v>37</v>
      </c>
      <c r="F36" s="1230">
        <v>3126</v>
      </c>
    </row>
    <row r="37" spans="2:6" x14ac:dyDescent="0.3">
      <c r="B37" s="177" t="s">
        <v>1499</v>
      </c>
      <c r="C37" s="56">
        <f>SUM(C31:C36)</f>
        <v>2349</v>
      </c>
      <c r="D37" s="56">
        <f>SUM(D31:D36)</f>
        <v>6653</v>
      </c>
      <c r="E37" s="56">
        <f>SUM(E31:E36)</f>
        <v>72</v>
      </c>
      <c r="F37" s="1237">
        <f>SUM(F31:F36)</f>
        <v>7987</v>
      </c>
    </row>
    <row r="38" spans="2:6" x14ac:dyDescent="0.3">
      <c r="B38" s="175" t="s">
        <v>221</v>
      </c>
      <c r="C38" s="1230">
        <v>243</v>
      </c>
      <c r="D38" s="1230">
        <v>1495</v>
      </c>
      <c r="E38" s="1230">
        <v>10</v>
      </c>
      <c r="F38" s="1230">
        <v>1522</v>
      </c>
    </row>
    <row r="39" spans="2:6" x14ac:dyDescent="0.3">
      <c r="B39" s="175" t="s">
        <v>550</v>
      </c>
      <c r="C39" s="1230">
        <v>479</v>
      </c>
      <c r="D39" s="1230">
        <v>2568</v>
      </c>
      <c r="E39" s="1230">
        <v>117</v>
      </c>
      <c r="F39" s="1230">
        <v>2978</v>
      </c>
    </row>
    <row r="40" spans="2:6" x14ac:dyDescent="0.3">
      <c r="B40" s="175" t="s">
        <v>568</v>
      </c>
      <c r="C40" s="1230">
        <v>263</v>
      </c>
      <c r="D40" s="1230">
        <v>1103</v>
      </c>
      <c r="E40" s="1230">
        <v>35</v>
      </c>
      <c r="F40" s="1230">
        <v>1345</v>
      </c>
    </row>
    <row r="41" spans="2:6" x14ac:dyDescent="0.3">
      <c r="B41" s="175" t="s">
        <v>1500</v>
      </c>
      <c r="C41" s="1230">
        <v>0</v>
      </c>
      <c r="D41" s="1230">
        <v>1</v>
      </c>
      <c r="E41" s="1230">
        <v>0</v>
      </c>
      <c r="F41" s="1230">
        <v>1</v>
      </c>
    </row>
    <row r="42" spans="2:6" x14ac:dyDescent="0.3">
      <c r="B42" s="175" t="s">
        <v>851</v>
      </c>
      <c r="C42" s="1230">
        <v>15</v>
      </c>
      <c r="D42" s="1230">
        <v>58</v>
      </c>
      <c r="E42" s="1230">
        <v>1</v>
      </c>
      <c r="F42" s="1230">
        <v>66</v>
      </c>
    </row>
    <row r="43" spans="2:6" x14ac:dyDescent="0.3">
      <c r="B43" s="175" t="s">
        <v>224</v>
      </c>
      <c r="C43" s="1230">
        <v>533</v>
      </c>
      <c r="D43" s="1230">
        <v>2437</v>
      </c>
      <c r="E43" s="1230">
        <v>91</v>
      </c>
      <c r="F43" s="1230">
        <v>2703</v>
      </c>
    </row>
    <row r="44" spans="2:6" x14ac:dyDescent="0.3">
      <c r="B44" s="175" t="s">
        <v>691</v>
      </c>
      <c r="C44" s="1230">
        <v>229</v>
      </c>
      <c r="D44" s="1230">
        <v>1383</v>
      </c>
      <c r="E44" s="1230">
        <v>51</v>
      </c>
      <c r="F44" s="1230">
        <v>1516</v>
      </c>
    </row>
    <row r="45" spans="2:6" x14ac:dyDescent="0.3">
      <c r="B45" s="177" t="s">
        <v>1501</v>
      </c>
      <c r="C45" s="56">
        <f>SUM(C38:C44)</f>
        <v>1762</v>
      </c>
      <c r="D45" s="56">
        <f>SUM(D38:D44)</f>
        <v>9045</v>
      </c>
      <c r="E45" s="56">
        <f>SUM(E38:E44)</f>
        <v>305</v>
      </c>
      <c r="F45" s="1237">
        <f>SUM(F38:F44)</f>
        <v>10131</v>
      </c>
    </row>
    <row r="46" spans="2:6" x14ac:dyDescent="0.3">
      <c r="B46" s="546" t="s">
        <v>1029</v>
      </c>
      <c r="C46" s="56">
        <f>+C45+C37+C30+C21+C15</f>
        <v>8001</v>
      </c>
      <c r="D46" s="56">
        <f>+D15+D21+D30+D37+D45</f>
        <v>29047</v>
      </c>
      <c r="E46" s="56">
        <f>+E45+E37+E30+E21+E15</f>
        <v>462</v>
      </c>
      <c r="F46" s="1237">
        <f>+F45+F37+F30+F21+F15</f>
        <v>33888</v>
      </c>
    </row>
    <row r="47" spans="2:6" ht="16.5" customHeight="1" thickBot="1" x14ac:dyDescent="0.35">
      <c r="B47" s="547" t="s">
        <v>1670</v>
      </c>
      <c r="C47" s="1069"/>
      <c r="D47" s="1069"/>
      <c r="E47" s="1069"/>
      <c r="F47" s="1070"/>
    </row>
    <row r="48" spans="2:6" ht="28.5" customHeight="1" x14ac:dyDescent="0.3">
      <c r="B48" s="3626"/>
      <c r="C48" s="3626"/>
      <c r="D48" s="3626"/>
      <c r="E48" s="3626"/>
      <c r="F48" s="3626"/>
    </row>
    <row r="49" spans="2:6" ht="31.5" customHeight="1" x14ac:dyDescent="0.3">
      <c r="B49" s="3626"/>
      <c r="C49" s="3626"/>
      <c r="D49" s="3626"/>
      <c r="E49" s="3626"/>
      <c r="F49" s="3626"/>
    </row>
    <row r="64" spans="2:6" ht="1.5" customHeight="1" x14ac:dyDescent="0.3"/>
  </sheetData>
  <mergeCells count="4">
    <mergeCell ref="B2:F2"/>
    <mergeCell ref="B3:F3"/>
    <mergeCell ref="B48:F48"/>
    <mergeCell ref="B49:F49"/>
  </mergeCells>
  <hyperlinks>
    <hyperlink ref="A1" location="CONTENTS!A1" display="Home" xr:uid="{80BF2669-4667-4EB7-A602-E07A92AB3298}"/>
  </hyperlinks>
  <pageMargins left="0.70866141732283472" right="0.70866141732283472" top="0.74803149606299213" bottom="0.74803149606299213" header="0.31496062992125984" footer="0.31496062992125984"/>
  <pageSetup paperSize="9" scale="68" orientation="portrait" r:id="rId1"/>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FB0CCD-6277-4C58-ADE7-9711E9CDB8FC}">
  <sheetPr>
    <tabColor theme="0"/>
    <pageSetUpPr fitToPage="1"/>
  </sheetPr>
  <dimension ref="A1:I64"/>
  <sheetViews>
    <sheetView view="pageLayout" zoomScale="50" zoomScaleNormal="85" zoomScalePageLayoutView="50" workbookViewId="0">
      <selection activeCell="B81" sqref="B81"/>
    </sheetView>
  </sheetViews>
  <sheetFormatPr defaultColWidth="9.140625" defaultRowHeight="16.5" x14ac:dyDescent="0.25"/>
  <cols>
    <col min="1" max="1" width="9.140625" style="3"/>
    <col min="2" max="2" width="9" style="118" customWidth="1"/>
    <col min="3" max="3" width="29.7109375" style="3" customWidth="1"/>
    <col min="4" max="4" width="20.5703125" style="118" customWidth="1"/>
    <col min="5" max="5" width="25.85546875" style="118" bestFit="1" customWidth="1"/>
    <col min="6" max="6" width="31" style="118" customWidth="1"/>
    <col min="7" max="7" width="25.85546875" style="118" bestFit="1" customWidth="1"/>
    <col min="8" max="16384" width="9.140625" style="3"/>
  </cols>
  <sheetData>
    <row r="1" spans="1:7" ht="18.75" x14ac:dyDescent="0.25">
      <c r="A1" s="1400"/>
      <c r="B1" s="3627" t="s">
        <v>1671</v>
      </c>
      <c r="C1" s="3627"/>
      <c r="D1" s="3627"/>
      <c r="E1" s="3627"/>
      <c r="F1" s="3627"/>
      <c r="G1" s="3628"/>
    </row>
    <row r="2" spans="1:7" ht="15.75" customHeight="1" x14ac:dyDescent="0.25">
      <c r="A2" s="1401"/>
      <c r="B2" s="3629"/>
      <c r="C2" s="3629"/>
      <c r="D2" s="3629"/>
      <c r="E2" s="3629"/>
      <c r="F2" s="3629"/>
      <c r="G2" s="3630"/>
    </row>
    <row r="3" spans="1:7" ht="15.75" customHeight="1" x14ac:dyDescent="0.25">
      <c r="A3" s="1401"/>
      <c r="B3" s="3631" t="s">
        <v>1672</v>
      </c>
      <c r="C3" s="3631" t="s">
        <v>217</v>
      </c>
      <c r="D3" s="3632" t="s">
        <v>2598</v>
      </c>
      <c r="E3" s="3632"/>
      <c r="F3" s="3632" t="s">
        <v>2599</v>
      </c>
      <c r="G3" s="3632"/>
    </row>
    <row r="4" spans="1:7" ht="113.25" customHeight="1" x14ac:dyDescent="0.25">
      <c r="A4" s="1401"/>
      <c r="B4" s="3631"/>
      <c r="C4" s="3631"/>
      <c r="D4" s="1252" t="s">
        <v>1673</v>
      </c>
      <c r="E4" s="1252" t="s">
        <v>1674</v>
      </c>
      <c r="F4" s="1252" t="s">
        <v>1673</v>
      </c>
      <c r="G4" s="1253" t="s">
        <v>1674</v>
      </c>
    </row>
    <row r="5" spans="1:7" s="304" customFormat="1" x14ac:dyDescent="0.25">
      <c r="A5" s="1402"/>
      <c r="B5" s="424">
        <v>1</v>
      </c>
      <c r="C5" s="1403" t="s">
        <v>1525</v>
      </c>
      <c r="D5" s="446">
        <v>0</v>
      </c>
      <c r="E5" s="1625">
        <v>0.11372297772082832</v>
      </c>
      <c r="F5" s="446">
        <v>0</v>
      </c>
      <c r="G5" s="1625">
        <v>7.4529429175939216E-2</v>
      </c>
    </row>
    <row r="6" spans="1:7" x14ac:dyDescent="0.25">
      <c r="A6" s="1401"/>
      <c r="B6" s="424">
        <v>2</v>
      </c>
      <c r="C6" s="1403" t="s">
        <v>221</v>
      </c>
      <c r="D6" s="446">
        <v>17.398034999999997</v>
      </c>
      <c r="E6" s="1625">
        <v>0.19999997483950885</v>
      </c>
      <c r="F6" s="446">
        <v>48.026781300000017</v>
      </c>
      <c r="G6" s="1625">
        <v>0.19328198943588487</v>
      </c>
    </row>
    <row r="7" spans="1:7" x14ac:dyDescent="0.25">
      <c r="A7" s="1401"/>
      <c r="B7" s="424">
        <v>3</v>
      </c>
      <c r="C7" s="1403" t="s">
        <v>220</v>
      </c>
      <c r="D7" s="446">
        <v>0</v>
      </c>
      <c r="E7" s="1625">
        <v>0.20000000000000007</v>
      </c>
      <c r="F7" s="446">
        <v>0</v>
      </c>
      <c r="G7" s="1625">
        <v>0.192714651311088</v>
      </c>
    </row>
    <row r="8" spans="1:7" x14ac:dyDescent="0.25">
      <c r="A8" s="1401"/>
      <c r="B8" s="424">
        <v>4</v>
      </c>
      <c r="C8" s="1403" t="s">
        <v>331</v>
      </c>
      <c r="D8" s="446">
        <v>13.685496900000002</v>
      </c>
      <c r="E8" s="1625">
        <v>0.20000000000000004</v>
      </c>
      <c r="F8" s="446">
        <v>33.262431000000007</v>
      </c>
      <c r="G8" s="1625">
        <v>0.19310501410404393</v>
      </c>
    </row>
    <row r="9" spans="1:7" x14ac:dyDescent="0.25">
      <c r="A9" s="1401"/>
      <c r="B9" s="424">
        <v>5</v>
      </c>
      <c r="C9" s="1403" t="s">
        <v>426</v>
      </c>
      <c r="D9" s="446">
        <v>12.978529899999998</v>
      </c>
      <c r="E9" s="1625">
        <v>0.20000000000000004</v>
      </c>
      <c r="F9" s="446">
        <v>33.4639697</v>
      </c>
      <c r="G9" s="1625">
        <v>0.19342852336103664</v>
      </c>
    </row>
    <row r="10" spans="1:7" x14ac:dyDescent="0.25">
      <c r="A10" s="1401"/>
      <c r="B10" s="424">
        <v>6</v>
      </c>
      <c r="C10" s="1403" t="s">
        <v>1484</v>
      </c>
      <c r="D10" s="446">
        <v>0</v>
      </c>
      <c r="E10" s="1625">
        <v>0.19999999999999996</v>
      </c>
      <c r="F10" s="446">
        <v>0</v>
      </c>
      <c r="G10" s="1625">
        <v>0.1904014651820197</v>
      </c>
    </row>
    <row r="11" spans="1:7" x14ac:dyDescent="0.25">
      <c r="A11" s="1401"/>
      <c r="B11" s="424">
        <v>7</v>
      </c>
      <c r="C11" s="1403" t="s">
        <v>452</v>
      </c>
      <c r="D11" s="446">
        <v>10.102682799999998</v>
      </c>
      <c r="E11" s="1625">
        <v>0.19994508198203995</v>
      </c>
      <c r="F11" s="446">
        <v>23.778548099999995</v>
      </c>
      <c r="G11" s="1625">
        <v>0.17979526682781816</v>
      </c>
    </row>
    <row r="12" spans="1:7" ht="31.5" x14ac:dyDescent="0.25">
      <c r="A12" s="1401"/>
      <c r="B12" s="424">
        <v>8</v>
      </c>
      <c r="C12" s="1404" t="s">
        <v>1675</v>
      </c>
      <c r="D12" s="446">
        <v>0</v>
      </c>
      <c r="E12" s="1625">
        <v>0.2</v>
      </c>
      <c r="F12" s="446">
        <v>0</v>
      </c>
      <c r="G12" s="1625">
        <v>0.19323194306634286</v>
      </c>
    </row>
    <row r="13" spans="1:7" x14ac:dyDescent="0.25">
      <c r="A13" s="1401"/>
      <c r="B13" s="424">
        <v>9</v>
      </c>
      <c r="C13" s="1403" t="s">
        <v>1485</v>
      </c>
      <c r="D13" s="446">
        <v>11.7688927</v>
      </c>
      <c r="E13" s="1625">
        <v>0.1984478199291537</v>
      </c>
      <c r="F13" s="446">
        <v>29.177657400000008</v>
      </c>
      <c r="G13" s="1625">
        <v>0.18862059517619478</v>
      </c>
    </row>
    <row r="14" spans="1:7" x14ac:dyDescent="0.25">
      <c r="A14" s="1401"/>
      <c r="B14" s="424">
        <v>10</v>
      </c>
      <c r="C14" s="1403" t="s">
        <v>466</v>
      </c>
      <c r="D14" s="446">
        <v>2.8129323999999998</v>
      </c>
      <c r="E14" s="1625">
        <v>0.19999944786858415</v>
      </c>
      <c r="F14" s="446">
        <v>5.5845852000000002</v>
      </c>
      <c r="G14" s="1625">
        <v>0.17408480219959127</v>
      </c>
    </row>
    <row r="15" spans="1:7" ht="18" customHeight="1" x14ac:dyDescent="0.25">
      <c r="A15" s="1401"/>
      <c r="B15" s="1459">
        <v>11</v>
      </c>
      <c r="C15" s="1403" t="s">
        <v>822</v>
      </c>
      <c r="D15" s="446">
        <v>21.150869999999994</v>
      </c>
      <c r="E15" s="1625">
        <v>0.20000000000000046</v>
      </c>
      <c r="F15" s="446">
        <v>48.986769100000018</v>
      </c>
      <c r="G15" s="1625">
        <v>0.19301414616709753</v>
      </c>
    </row>
    <row r="16" spans="1:7" ht="18.75" customHeight="1" x14ac:dyDescent="0.25">
      <c r="A16" s="1401"/>
      <c r="B16" s="424">
        <v>12</v>
      </c>
      <c r="C16" s="1403" t="s">
        <v>507</v>
      </c>
      <c r="D16" s="446">
        <v>18.965273400000008</v>
      </c>
      <c r="E16" s="1625">
        <v>0.20000000000000026</v>
      </c>
      <c r="F16" s="446">
        <v>46.460217499999999</v>
      </c>
      <c r="G16" s="1625">
        <v>0.19524932925132671</v>
      </c>
    </row>
    <row r="17" spans="1:7" x14ac:dyDescent="0.25">
      <c r="A17" s="1401"/>
      <c r="B17" s="424">
        <v>13</v>
      </c>
      <c r="C17" s="1403" t="s">
        <v>538</v>
      </c>
      <c r="D17" s="446">
        <v>2.8223096999999999</v>
      </c>
      <c r="E17" s="1625">
        <v>0.20000000000000012</v>
      </c>
      <c r="F17" s="446">
        <v>6.8706333000000015</v>
      </c>
      <c r="G17" s="1625">
        <v>0.19142567362311089</v>
      </c>
    </row>
    <row r="18" spans="1:7" x14ac:dyDescent="0.25">
      <c r="A18" s="1401"/>
      <c r="B18" s="424">
        <v>14</v>
      </c>
      <c r="C18" s="1403" t="s">
        <v>1521</v>
      </c>
      <c r="D18" s="446">
        <v>1.2759684999999998</v>
      </c>
      <c r="E18" s="1625">
        <v>0.19967098636113634</v>
      </c>
      <c r="F18" s="446">
        <v>3.0184387999999998</v>
      </c>
      <c r="G18" s="1625">
        <v>0.18887997691067909</v>
      </c>
    </row>
    <row r="19" spans="1:7" ht="15.75" customHeight="1" x14ac:dyDescent="0.25">
      <c r="A19" s="1401"/>
      <c r="B19" s="424">
        <v>15</v>
      </c>
      <c r="C19" s="1403" t="s">
        <v>541</v>
      </c>
      <c r="D19" s="446">
        <v>8.6265534000000024</v>
      </c>
      <c r="E19" s="1625">
        <v>0.20000000000000015</v>
      </c>
      <c r="F19" s="446">
        <v>20.014032399999998</v>
      </c>
      <c r="G19" s="1625">
        <v>0.19190476123032735</v>
      </c>
    </row>
    <row r="20" spans="1:7" ht="15.75" customHeight="1" x14ac:dyDescent="0.25">
      <c r="A20" s="1401"/>
      <c r="B20" s="424">
        <v>16</v>
      </c>
      <c r="C20" s="1403" t="s">
        <v>550</v>
      </c>
      <c r="D20" s="446">
        <v>34.0066183</v>
      </c>
      <c r="E20" s="1625">
        <v>0.20000022151848834</v>
      </c>
      <c r="F20" s="446">
        <v>81.85822160000005</v>
      </c>
      <c r="G20" s="1625">
        <v>0.19330630803472834</v>
      </c>
    </row>
    <row r="21" spans="1:7" ht="15.75" customHeight="1" x14ac:dyDescent="0.25">
      <c r="A21" s="1401"/>
      <c r="B21" s="424">
        <v>17</v>
      </c>
      <c r="C21" s="1403" t="s">
        <v>568</v>
      </c>
      <c r="D21" s="446">
        <v>18.309463999999998</v>
      </c>
      <c r="E21" s="1625">
        <v>0.19999981442639916</v>
      </c>
      <c r="F21" s="446">
        <v>47.747804200000004</v>
      </c>
      <c r="G21" s="1625">
        <v>0.19491330911750762</v>
      </c>
    </row>
    <row r="22" spans="1:7" ht="15.75" customHeight="1" x14ac:dyDescent="0.25">
      <c r="A22" s="1401"/>
      <c r="B22" s="424">
        <v>18</v>
      </c>
      <c r="C22" s="1403" t="s">
        <v>1488</v>
      </c>
      <c r="D22" s="446">
        <v>0</v>
      </c>
      <c r="E22" s="1625">
        <v>0.2</v>
      </c>
      <c r="F22" s="446">
        <v>0</v>
      </c>
      <c r="G22" s="1625">
        <v>0.17754991867667921</v>
      </c>
    </row>
    <row r="23" spans="1:7" ht="18.75" customHeight="1" x14ac:dyDescent="0.25">
      <c r="A23" s="1401"/>
      <c r="B23" s="424">
        <v>19</v>
      </c>
      <c r="C23" s="1403" t="s">
        <v>1500</v>
      </c>
      <c r="D23" s="446">
        <v>0</v>
      </c>
      <c r="E23" s="1625">
        <v>0.20000097735469177</v>
      </c>
      <c r="F23" s="446">
        <v>0</v>
      </c>
      <c r="G23" s="1625">
        <v>0.17637754358805996</v>
      </c>
    </row>
    <row r="24" spans="1:7" x14ac:dyDescent="0.25">
      <c r="A24" s="1401"/>
      <c r="B24" s="424">
        <v>20</v>
      </c>
      <c r="C24" s="1403" t="s">
        <v>578</v>
      </c>
      <c r="D24" s="446">
        <v>17.385466499999989</v>
      </c>
      <c r="E24" s="1625">
        <v>0.19999999999999984</v>
      </c>
      <c r="F24" s="446">
        <v>44.288067800000036</v>
      </c>
      <c r="G24" s="1625">
        <v>0.19279030620668736</v>
      </c>
    </row>
    <row r="25" spans="1:7" x14ac:dyDescent="0.25">
      <c r="A25" s="1401"/>
      <c r="B25" s="424">
        <v>21</v>
      </c>
      <c r="C25" s="1403" t="s">
        <v>606</v>
      </c>
      <c r="D25" s="446">
        <v>47.135489099999987</v>
      </c>
      <c r="E25" s="1625">
        <v>0.19999990981279611</v>
      </c>
      <c r="F25" s="446">
        <v>109.31724170000007</v>
      </c>
      <c r="G25" s="1625">
        <v>0.19217738016996483</v>
      </c>
    </row>
    <row r="26" spans="1:7" x14ac:dyDescent="0.25">
      <c r="A26" s="1401"/>
      <c r="B26" s="424">
        <v>22</v>
      </c>
      <c r="C26" s="1403" t="s">
        <v>1492</v>
      </c>
      <c r="D26" s="446">
        <v>0</v>
      </c>
      <c r="E26" s="1625">
        <v>0.20000000000000018</v>
      </c>
      <c r="F26" s="446">
        <v>0</v>
      </c>
      <c r="G26" s="1625">
        <v>0.19071781873459939</v>
      </c>
    </row>
    <row r="27" spans="1:7" x14ac:dyDescent="0.25">
      <c r="A27" s="1401"/>
      <c r="B27" s="424">
        <v>23</v>
      </c>
      <c r="C27" s="1403" t="s">
        <v>1493</v>
      </c>
      <c r="D27" s="446">
        <v>0</v>
      </c>
      <c r="E27" s="1625">
        <v>0.2</v>
      </c>
      <c r="F27" s="446">
        <v>0</v>
      </c>
      <c r="G27" s="1625">
        <v>0.19317709825688928</v>
      </c>
    </row>
    <row r="28" spans="1:7" x14ac:dyDescent="0.25">
      <c r="A28" s="1401"/>
      <c r="B28" s="424">
        <v>24</v>
      </c>
      <c r="C28" s="1403" t="s">
        <v>1494</v>
      </c>
      <c r="D28" s="446">
        <v>0</v>
      </c>
      <c r="E28" s="1625">
        <v>0.2</v>
      </c>
      <c r="F28" s="446">
        <v>0</v>
      </c>
      <c r="G28" s="1625">
        <v>0.19203389378880331</v>
      </c>
    </row>
    <row r="29" spans="1:7" x14ac:dyDescent="0.25">
      <c r="A29" s="1401"/>
      <c r="B29" s="424">
        <v>25</v>
      </c>
      <c r="C29" s="1403" t="s">
        <v>1495</v>
      </c>
      <c r="D29" s="446">
        <v>0</v>
      </c>
      <c r="E29" s="1625">
        <v>0.19999999999999996</v>
      </c>
      <c r="F29" s="446">
        <v>0</v>
      </c>
      <c r="G29" s="1625">
        <v>0.19345306934918019</v>
      </c>
    </row>
    <row r="30" spans="1:7" x14ac:dyDescent="0.25">
      <c r="A30" s="1401"/>
      <c r="B30" s="424">
        <v>26</v>
      </c>
      <c r="C30" s="1403" t="s">
        <v>631</v>
      </c>
      <c r="D30" s="446">
        <v>13.522526399999997</v>
      </c>
      <c r="E30" s="1625">
        <v>0.20000000000000009</v>
      </c>
      <c r="F30" s="446">
        <v>31.633468599999997</v>
      </c>
      <c r="G30" s="1625">
        <v>0.19384365531348155</v>
      </c>
    </row>
    <row r="31" spans="1:7" x14ac:dyDescent="0.25">
      <c r="A31" s="1401"/>
      <c r="B31" s="424">
        <v>27</v>
      </c>
      <c r="C31" s="1403" t="s">
        <v>2596</v>
      </c>
      <c r="D31" s="446">
        <v>0</v>
      </c>
      <c r="E31" s="1625">
        <v>0.20000000000000007</v>
      </c>
      <c r="F31" s="446">
        <v>0</v>
      </c>
      <c r="G31" s="1625">
        <v>0.19458208660520362</v>
      </c>
    </row>
    <row r="32" spans="1:7" ht="15.75" customHeight="1" x14ac:dyDescent="0.25">
      <c r="A32" s="1401"/>
      <c r="B32" s="424">
        <v>28</v>
      </c>
      <c r="C32" s="1403" t="s">
        <v>645</v>
      </c>
      <c r="D32" s="446">
        <v>16.480025300000001</v>
      </c>
      <c r="E32" s="1625">
        <v>0.20000000000000018</v>
      </c>
      <c r="F32" s="446">
        <v>38.995597100000012</v>
      </c>
      <c r="G32" s="1625">
        <v>0.19119811641281784</v>
      </c>
    </row>
    <row r="33" spans="1:7" x14ac:dyDescent="0.25">
      <c r="A33" s="1401"/>
      <c r="B33" s="424">
        <v>29</v>
      </c>
      <c r="C33" s="1403" t="s">
        <v>223</v>
      </c>
      <c r="D33" s="446">
        <v>19.980231399999997</v>
      </c>
      <c r="E33" s="1625">
        <v>0.20000000000000057</v>
      </c>
      <c r="F33" s="446">
        <v>48.593729300000014</v>
      </c>
      <c r="G33" s="1625">
        <v>0.19323092093839184</v>
      </c>
    </row>
    <row r="34" spans="1:7" x14ac:dyDescent="0.25">
      <c r="A34" s="1401"/>
      <c r="B34" s="424">
        <v>30</v>
      </c>
      <c r="C34" s="1403" t="s">
        <v>1496</v>
      </c>
      <c r="D34" s="446">
        <v>0</v>
      </c>
      <c r="E34" s="1625">
        <v>0.2</v>
      </c>
      <c r="F34" s="446">
        <v>0</v>
      </c>
      <c r="G34" s="1625">
        <v>0.194627291053595</v>
      </c>
    </row>
    <row r="35" spans="1:7" ht="15.75" customHeight="1" x14ac:dyDescent="0.25">
      <c r="A35" s="1401"/>
      <c r="B35" s="424">
        <v>31</v>
      </c>
      <c r="C35" s="1403" t="s">
        <v>224</v>
      </c>
      <c r="D35" s="446">
        <v>38.949152500000004</v>
      </c>
      <c r="E35" s="1625">
        <v>0.19999917512058032</v>
      </c>
      <c r="F35" s="446">
        <v>95.60544479999993</v>
      </c>
      <c r="G35" s="1625">
        <v>0.19407691958356282</v>
      </c>
    </row>
    <row r="36" spans="1:7" ht="15.75" customHeight="1" x14ac:dyDescent="0.25">
      <c r="A36" s="1401"/>
      <c r="B36" s="424">
        <v>32</v>
      </c>
      <c r="C36" s="1403" t="s">
        <v>691</v>
      </c>
      <c r="D36" s="446">
        <v>18.963772900000006</v>
      </c>
      <c r="E36" s="1625">
        <v>0.20002204162105749</v>
      </c>
      <c r="F36" s="446">
        <v>48.705392200000006</v>
      </c>
      <c r="G36" s="1625">
        <v>0.19389762458796164</v>
      </c>
    </row>
    <row r="37" spans="1:7" ht="15.75" customHeight="1" x14ac:dyDescent="0.25">
      <c r="A37" s="1401"/>
      <c r="B37" s="424">
        <v>33</v>
      </c>
      <c r="C37" s="1403" t="s">
        <v>390</v>
      </c>
      <c r="D37" s="446">
        <v>0</v>
      </c>
      <c r="E37" s="1625">
        <v>0.19999999999999998</v>
      </c>
      <c r="F37" s="446">
        <v>0</v>
      </c>
      <c r="G37" s="1625">
        <v>0.1921715627251338</v>
      </c>
    </row>
    <row r="38" spans="1:7" ht="15.75" customHeight="1" x14ac:dyDescent="0.25">
      <c r="A38" s="1401"/>
      <c r="B38" s="424">
        <v>34</v>
      </c>
      <c r="C38" s="1403" t="s">
        <v>709</v>
      </c>
      <c r="D38" s="446">
        <v>57.893895500000028</v>
      </c>
      <c r="E38" s="1625">
        <v>0.1999922245225586</v>
      </c>
      <c r="F38" s="446">
        <v>148.35161989999992</v>
      </c>
      <c r="G38" s="1625">
        <v>0.19193788367084227</v>
      </c>
    </row>
    <row r="39" spans="1:7" x14ac:dyDescent="0.25">
      <c r="A39" s="1401"/>
      <c r="B39" s="424">
        <v>35</v>
      </c>
      <c r="C39" s="1403" t="s">
        <v>757</v>
      </c>
      <c r="D39" s="446">
        <v>2.7619278</v>
      </c>
      <c r="E39" s="1625">
        <v>0.20000000000000004</v>
      </c>
      <c r="F39" s="446">
        <v>6.352077200000001</v>
      </c>
      <c r="G39" s="1625">
        <v>0.193231191424037</v>
      </c>
    </row>
    <row r="40" spans="1:7" x14ac:dyDescent="0.25">
      <c r="A40" s="1401"/>
      <c r="B40" s="424">
        <v>36</v>
      </c>
      <c r="C40" s="1403" t="s">
        <v>225</v>
      </c>
      <c r="D40" s="446">
        <v>16.471643362000002</v>
      </c>
      <c r="E40" s="1625">
        <v>0.20000000048365543</v>
      </c>
      <c r="F40" s="446">
        <v>39.995637500000001</v>
      </c>
      <c r="G40" s="1625">
        <v>0.19511563959161654</v>
      </c>
    </row>
    <row r="41" spans="1:7" x14ac:dyDescent="0.25">
      <c r="A41" s="1401"/>
      <c r="B41" s="3633" t="s">
        <v>334</v>
      </c>
      <c r="C41" s="3634"/>
      <c r="D41" s="1626">
        <v>423.44775776200004</v>
      </c>
      <c r="E41" s="1627">
        <v>0.19986026020124045</v>
      </c>
      <c r="F41" s="1626">
        <v>1040.0883657000002</v>
      </c>
      <c r="G41" s="1627">
        <v>0.19244607670515027</v>
      </c>
    </row>
    <row r="42" spans="1:7" x14ac:dyDescent="0.25">
      <c r="A42" s="1401"/>
      <c r="B42" s="3635" t="s">
        <v>1676</v>
      </c>
      <c r="C42" s="3635"/>
      <c r="D42" s="3635"/>
      <c r="E42" s="3635"/>
      <c r="F42" s="3635"/>
      <c r="G42" s="3636"/>
    </row>
    <row r="43" spans="1:7" ht="45" customHeight="1" x14ac:dyDescent="0.25">
      <c r="A43" s="1401"/>
      <c r="B43" s="3319" t="s">
        <v>1677</v>
      </c>
      <c r="C43" s="3319"/>
      <c r="D43" s="3319"/>
      <c r="E43" s="3319"/>
      <c r="F43" s="3319"/>
      <c r="G43" s="3320"/>
    </row>
    <row r="44" spans="1:7" ht="21" customHeight="1" thickBot="1" x14ac:dyDescent="0.3">
      <c r="A44" s="1379"/>
      <c r="B44" s="3637" t="s">
        <v>2480</v>
      </c>
      <c r="C44" s="3637"/>
      <c r="D44" s="3637"/>
      <c r="E44" s="3637"/>
      <c r="F44" s="3637"/>
      <c r="G44" s="3638"/>
    </row>
    <row r="45" spans="1:7" ht="17.25" thickBot="1" x14ac:dyDescent="0.3"/>
    <row r="46" spans="1:7" ht="21" thickBot="1" x14ac:dyDescent="0.3">
      <c r="A46" s="1400"/>
      <c r="B46" s="3639" t="s">
        <v>2421</v>
      </c>
      <c r="C46" s="3639"/>
      <c r="D46" s="3639"/>
      <c r="E46" s="3639"/>
      <c r="F46" s="3639"/>
      <c r="G46" s="3640"/>
    </row>
    <row r="47" spans="1:7" ht="34.5" customHeight="1" thickBot="1" x14ac:dyDescent="0.3">
      <c r="A47" s="1401"/>
      <c r="B47" s="1252" t="s">
        <v>1467</v>
      </c>
      <c r="C47" s="1621" t="s">
        <v>2420</v>
      </c>
      <c r="D47" s="1628" t="s">
        <v>2600</v>
      </c>
      <c r="E47" s="1628" t="s">
        <v>2601</v>
      </c>
      <c r="F47" s="1628" t="s">
        <v>2597</v>
      </c>
      <c r="G47" s="1253" t="s">
        <v>2602</v>
      </c>
    </row>
    <row r="48" spans="1:7" x14ac:dyDescent="0.25">
      <c r="A48" s="1401"/>
      <c r="B48" s="1230">
        <v>1</v>
      </c>
      <c r="C48" s="19" t="s">
        <v>2414</v>
      </c>
      <c r="D48" s="1405">
        <v>0.25355450236966826</v>
      </c>
      <c r="E48" s="1406">
        <v>9.6485248846394672E-2</v>
      </c>
      <c r="F48" s="1405">
        <v>0.15892702624747623</v>
      </c>
      <c r="G48" s="1406">
        <v>0.26937496045051973</v>
      </c>
    </row>
    <row r="49" spans="1:9" x14ac:dyDescent="0.25">
      <c r="A49" s="1401"/>
      <c r="B49" s="1230">
        <v>2</v>
      </c>
      <c r="C49" s="19" t="s">
        <v>2415</v>
      </c>
      <c r="D49" s="1405">
        <v>0.46465244865718802</v>
      </c>
      <c r="E49" s="1406">
        <v>0.21958118260735981</v>
      </c>
      <c r="F49" s="1405">
        <v>0.13344870685511012</v>
      </c>
      <c r="G49" s="1406">
        <v>7.335491623374818E-2</v>
      </c>
    </row>
    <row r="50" spans="1:9" x14ac:dyDescent="0.25">
      <c r="A50" s="1401"/>
      <c r="B50" s="1230">
        <v>3</v>
      </c>
      <c r="C50" s="19" t="s">
        <v>2416</v>
      </c>
      <c r="D50" s="1405">
        <v>1.1058451816745656E-2</v>
      </c>
      <c r="E50" s="1406">
        <v>8.5110291732472365E-2</v>
      </c>
      <c r="F50" s="1405">
        <v>1.624843765022594E-2</v>
      </c>
      <c r="G50" s="1406">
        <v>1.1947848836747385E-2</v>
      </c>
    </row>
    <row r="51" spans="1:9" x14ac:dyDescent="0.25">
      <c r="A51" s="1401"/>
      <c r="B51" s="1230">
        <v>4</v>
      </c>
      <c r="C51" s="19" t="s">
        <v>2417</v>
      </c>
      <c r="D51" s="1405">
        <v>6.2993680884676148E-2</v>
      </c>
      <c r="E51" s="1406">
        <v>0.17166847506659894</v>
      </c>
      <c r="F51" s="1405">
        <v>7.7396404191904633E-2</v>
      </c>
      <c r="G51" s="1406">
        <v>4.9603508378489591E-2</v>
      </c>
    </row>
    <row r="52" spans="1:9" x14ac:dyDescent="0.25">
      <c r="A52" s="1401"/>
      <c r="B52" s="1230">
        <v>5</v>
      </c>
      <c r="C52" s="19" t="s">
        <v>2418</v>
      </c>
      <c r="D52" s="1405">
        <v>0.14553712480252765</v>
      </c>
      <c r="E52" s="1406">
        <v>1.9499681755174472E-4</v>
      </c>
      <c r="F52" s="1405">
        <v>0.13469858667435824</v>
      </c>
      <c r="G52" s="1406">
        <v>0.21572568286296773</v>
      </c>
    </row>
    <row r="53" spans="1:9" x14ac:dyDescent="0.25">
      <c r="A53" s="1401"/>
      <c r="B53" s="1230">
        <v>6</v>
      </c>
      <c r="C53" s="19" t="s">
        <v>2419</v>
      </c>
      <c r="D53" s="1405">
        <v>6.2203791469194317E-2</v>
      </c>
      <c r="E53" s="1406">
        <v>0.42695980492962243</v>
      </c>
      <c r="F53" s="1405">
        <v>0.47928083838092495</v>
      </c>
      <c r="G53" s="1406">
        <v>0.3799930832375274</v>
      </c>
    </row>
    <row r="54" spans="1:9" ht="17.25" thickBot="1" x14ac:dyDescent="0.3">
      <c r="A54" s="1379"/>
      <c r="B54" s="1408"/>
      <c r="C54" s="1407"/>
      <c r="D54" s="1408"/>
      <c r="E54" s="1408"/>
      <c r="F54" s="1408"/>
      <c r="G54" s="1409"/>
    </row>
    <row r="64" spans="1:9" ht="1.5" customHeight="1" x14ac:dyDescent="0.25">
      <c r="H64" s="118"/>
      <c r="I64" s="118"/>
    </row>
  </sheetData>
  <mergeCells count="11">
    <mergeCell ref="B41:C41"/>
    <mergeCell ref="B42:G42"/>
    <mergeCell ref="B43:G43"/>
    <mergeCell ref="B44:G44"/>
    <mergeCell ref="B46:G46"/>
    <mergeCell ref="B1:G1"/>
    <mergeCell ref="B2:G2"/>
    <mergeCell ref="B3:B4"/>
    <mergeCell ref="C3:C4"/>
    <mergeCell ref="D3:E3"/>
    <mergeCell ref="F3:G3"/>
  </mergeCells>
  <pageMargins left="0.70866141732283472" right="0.70866141732283472" top="0.74803149606299213" bottom="0.74803149606299213" header="0.31496062992125984" footer="0.31496062992125984"/>
  <pageSetup paperSize="9" scale="59" fitToHeight="0" orientation="portrait" horizontalDpi="300" verticalDpi="300" r:id="rId1"/>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F0344F-DFFD-46F3-81BA-02B51E33B31A}">
  <sheetPr>
    <tabColor rgb="FF00B050"/>
    <pageSetUpPr fitToPage="1"/>
  </sheetPr>
  <dimension ref="D2:Y45"/>
  <sheetViews>
    <sheetView zoomScale="55" zoomScaleNormal="55" workbookViewId="0">
      <selection activeCell="W11" sqref="W11"/>
    </sheetView>
  </sheetViews>
  <sheetFormatPr defaultRowHeight="15" x14ac:dyDescent="0.25"/>
  <cols>
    <col min="3" max="3" width="15.28515625" customWidth="1"/>
    <col min="23" max="23" width="10.7109375" customWidth="1"/>
    <col min="24" max="26" width="11.7109375" bestFit="1" customWidth="1"/>
  </cols>
  <sheetData>
    <row r="2" spans="4:18" ht="15.75" thickBot="1" x14ac:dyDescent="0.3"/>
    <row r="3" spans="4:18" ht="18.75" x14ac:dyDescent="0.3">
      <c r="D3" s="512"/>
      <c r="E3" s="3410" t="s">
        <v>2362</v>
      </c>
      <c r="F3" s="3410"/>
      <c r="G3" s="3410"/>
      <c r="H3" s="3410"/>
      <c r="I3" s="3410"/>
      <c r="J3" s="3410"/>
      <c r="K3" s="3410"/>
      <c r="L3" s="3410"/>
      <c r="M3" s="3410"/>
      <c r="N3" s="3410"/>
      <c r="O3" s="3410"/>
      <c r="P3" s="3410"/>
      <c r="Q3" s="3410"/>
      <c r="R3" s="513"/>
    </row>
    <row r="4" spans="4:18" x14ac:dyDescent="0.25">
      <c r="D4" s="110"/>
      <c r="R4" s="111"/>
    </row>
    <row r="5" spans="4:18" x14ac:dyDescent="0.25">
      <c r="D5" s="110"/>
      <c r="R5" s="111"/>
    </row>
    <row r="6" spans="4:18" x14ac:dyDescent="0.25">
      <c r="D6" s="110"/>
      <c r="R6" s="111"/>
    </row>
    <row r="7" spans="4:18" x14ac:dyDescent="0.25">
      <c r="D7" s="110"/>
      <c r="R7" s="111"/>
    </row>
    <row r="8" spans="4:18" x14ac:dyDescent="0.25">
      <c r="D8" s="110"/>
      <c r="R8" s="111"/>
    </row>
    <row r="9" spans="4:18" x14ac:dyDescent="0.25">
      <c r="D9" s="110"/>
      <c r="R9" s="111"/>
    </row>
    <row r="10" spans="4:18" x14ac:dyDescent="0.25">
      <c r="D10" s="110"/>
      <c r="R10" s="111"/>
    </row>
    <row r="11" spans="4:18" x14ac:dyDescent="0.25">
      <c r="D11" s="110"/>
      <c r="R11" s="111"/>
    </row>
    <row r="12" spans="4:18" x14ac:dyDescent="0.25">
      <c r="D12" s="110"/>
      <c r="R12" s="111"/>
    </row>
    <row r="13" spans="4:18" x14ac:dyDescent="0.25">
      <c r="D13" s="110"/>
      <c r="R13" s="111"/>
    </row>
    <row r="14" spans="4:18" x14ac:dyDescent="0.25">
      <c r="D14" s="110"/>
      <c r="R14" s="111"/>
    </row>
    <row r="15" spans="4:18" x14ac:dyDescent="0.25">
      <c r="D15" s="110"/>
      <c r="R15" s="111"/>
    </row>
    <row r="16" spans="4:18" x14ac:dyDescent="0.25">
      <c r="D16" s="110"/>
      <c r="R16" s="111"/>
    </row>
    <row r="17" spans="4:25" x14ac:dyDescent="0.25">
      <c r="D17" s="110"/>
      <c r="R17" s="111"/>
    </row>
    <row r="18" spans="4:25" x14ac:dyDescent="0.25">
      <c r="D18" s="110"/>
      <c r="R18" s="111"/>
    </row>
    <row r="19" spans="4:25" x14ac:dyDescent="0.25">
      <c r="D19" s="110"/>
      <c r="R19" s="111"/>
    </row>
    <row r="20" spans="4:25" x14ac:dyDescent="0.25">
      <c r="D20" s="110"/>
      <c r="R20" s="111"/>
    </row>
    <row r="21" spans="4:25" x14ac:dyDescent="0.25">
      <c r="D21" s="110"/>
      <c r="R21" s="111"/>
    </row>
    <row r="22" spans="4:25" x14ac:dyDescent="0.25">
      <c r="D22" s="110"/>
      <c r="R22" s="111"/>
    </row>
    <row r="23" spans="4:25" x14ac:dyDescent="0.25">
      <c r="D23" s="110"/>
      <c r="R23" s="111"/>
    </row>
    <row r="24" spans="4:25" x14ac:dyDescent="0.25">
      <c r="D24" s="110"/>
      <c r="R24" s="111"/>
    </row>
    <row r="25" spans="4:25" x14ac:dyDescent="0.25">
      <c r="D25" s="110"/>
      <c r="R25" s="111"/>
    </row>
    <row r="26" spans="4:25" x14ac:dyDescent="0.25">
      <c r="D26" s="110"/>
      <c r="R26" s="111"/>
    </row>
    <row r="27" spans="4:25" x14ac:dyDescent="0.25">
      <c r="D27" s="110"/>
      <c r="R27" s="111"/>
    </row>
    <row r="28" spans="4:25" x14ac:dyDescent="0.25">
      <c r="D28" s="110"/>
      <c r="R28" s="111"/>
      <c r="W28" s="143" t="s">
        <v>1150</v>
      </c>
      <c r="X28" s="143" t="s">
        <v>2314</v>
      </c>
      <c r="Y28" s="143" t="s">
        <v>2285</v>
      </c>
    </row>
    <row r="29" spans="4:25" ht="16.5" x14ac:dyDescent="0.25">
      <c r="D29" s="110"/>
      <c r="R29" s="111"/>
      <c r="W29" s="134" t="s">
        <v>112</v>
      </c>
      <c r="X29" s="211">
        <v>31.320412262612184</v>
      </c>
      <c r="Y29" s="835">
        <v>29.663610000000002</v>
      </c>
    </row>
    <row r="30" spans="4:25" ht="16.5" x14ac:dyDescent="0.25">
      <c r="D30" s="110"/>
      <c r="R30" s="111"/>
      <c r="W30" s="134" t="s">
        <v>1045</v>
      </c>
      <c r="X30" s="211">
        <v>40.004539130439262</v>
      </c>
      <c r="Y30" s="835">
        <v>37.219380000000008</v>
      </c>
    </row>
    <row r="31" spans="4:25" ht="20.25" customHeight="1" x14ac:dyDescent="0.25">
      <c r="D31" s="110"/>
      <c r="R31" s="111"/>
      <c r="W31" s="134" t="s">
        <v>1046</v>
      </c>
      <c r="X31" s="211">
        <v>13.153341099251001</v>
      </c>
      <c r="Y31" s="835">
        <v>13.812069999999999</v>
      </c>
    </row>
    <row r="32" spans="4:25" ht="16.5" x14ac:dyDescent="0.25">
      <c r="D32" s="110"/>
      <c r="R32" s="111"/>
      <c r="W32" s="134" t="s">
        <v>1049</v>
      </c>
      <c r="X32" s="211">
        <v>8.9847838910909559</v>
      </c>
      <c r="Y32" s="835">
        <v>8.2470400000000001</v>
      </c>
    </row>
    <row r="33" spans="4:25" ht="16.5" x14ac:dyDescent="0.25">
      <c r="D33" s="110"/>
      <c r="R33" s="111"/>
      <c r="W33" s="134" t="s">
        <v>1059</v>
      </c>
      <c r="X33" s="211">
        <v>0.40774494099455255</v>
      </c>
      <c r="Y33" s="835">
        <v>0.47908000000000001</v>
      </c>
    </row>
    <row r="34" spans="4:25" ht="16.5" x14ac:dyDescent="0.25">
      <c r="D34" s="110"/>
      <c r="R34" s="111"/>
      <c r="W34" s="134" t="s">
        <v>1050</v>
      </c>
      <c r="X34" s="211">
        <v>91.406924104730408</v>
      </c>
      <c r="Y34" s="835">
        <v>89.626179999999991</v>
      </c>
    </row>
    <row r="35" spans="4:25" ht="16.5" x14ac:dyDescent="0.25">
      <c r="D35" s="110"/>
      <c r="R35" s="111"/>
      <c r="W35" s="134" t="s">
        <v>1051</v>
      </c>
      <c r="X35" s="211">
        <v>0.83818154041808879</v>
      </c>
      <c r="Y35" s="835">
        <v>0.78189999999999982</v>
      </c>
    </row>
    <row r="36" spans="4:25" ht="16.5" x14ac:dyDescent="0.25">
      <c r="D36" s="110"/>
      <c r="R36" s="111"/>
      <c r="W36" s="134" t="s">
        <v>1066</v>
      </c>
      <c r="X36" s="211">
        <v>4.588941319307974</v>
      </c>
      <c r="Y36" s="835">
        <v>4.0872000000000002</v>
      </c>
    </row>
    <row r="37" spans="4:25" ht="15" customHeight="1" x14ac:dyDescent="0.25">
      <c r="D37" s="110"/>
      <c r="R37" s="111"/>
      <c r="W37" s="134" t="s">
        <v>1414</v>
      </c>
      <c r="X37" s="211">
        <v>6.4585686494641497</v>
      </c>
      <c r="Y37" s="835">
        <v>6.5204199999999997</v>
      </c>
    </row>
    <row r="38" spans="4:25" ht="16.5" x14ac:dyDescent="0.25">
      <c r="D38" s="110"/>
      <c r="R38" s="111"/>
      <c r="W38" s="134" t="s">
        <v>1054</v>
      </c>
      <c r="X38" s="211">
        <v>8.3304026962500011</v>
      </c>
      <c r="Y38" s="835">
        <v>8.8072499999999998</v>
      </c>
    </row>
    <row r="39" spans="4:25" ht="16.5" x14ac:dyDescent="0.25">
      <c r="D39" s="110"/>
      <c r="R39" s="111"/>
      <c r="W39" s="134" t="s">
        <v>1157</v>
      </c>
      <c r="X39" s="211">
        <v>22.063037920999996</v>
      </c>
      <c r="Y39" s="835">
        <v>20.318540000000002</v>
      </c>
    </row>
    <row r="40" spans="4:25" ht="16.5" x14ac:dyDescent="0.25">
      <c r="D40" s="110"/>
      <c r="R40" s="111"/>
      <c r="W40" s="134" t="s">
        <v>1422</v>
      </c>
      <c r="X40" s="211">
        <v>11.614112876202864</v>
      </c>
      <c r="Y40" s="835">
        <v>14.696070000000002</v>
      </c>
    </row>
    <row r="41" spans="4:25" x14ac:dyDescent="0.25">
      <c r="D41" s="110"/>
      <c r="R41" s="111"/>
      <c r="W41" s="144" t="s">
        <v>1029</v>
      </c>
      <c r="X41" s="837">
        <f>+SUM(X29:X40)</f>
        <v>239.17099043176137</v>
      </c>
      <c r="Y41" s="836">
        <f>+SUM(Y29:Y40)</f>
        <v>234.25874000000002</v>
      </c>
    </row>
    <row r="42" spans="4:25" x14ac:dyDescent="0.25">
      <c r="D42" s="110"/>
      <c r="R42" s="111"/>
    </row>
    <row r="43" spans="4:25" x14ac:dyDescent="0.25">
      <c r="D43" s="110"/>
      <c r="R43" s="111"/>
    </row>
    <row r="44" spans="4:25" x14ac:dyDescent="0.25">
      <c r="D44" s="110"/>
      <c r="R44" s="111"/>
    </row>
    <row r="45" spans="4:25" ht="15.75" thickBot="1" x14ac:dyDescent="0.3">
      <c r="D45" s="99"/>
      <c r="E45" s="100"/>
      <c r="F45" s="100"/>
      <c r="G45" s="100"/>
      <c r="H45" s="100"/>
      <c r="I45" s="100"/>
      <c r="J45" s="100"/>
      <c r="K45" s="100"/>
      <c r="L45" s="100"/>
      <c r="M45" s="100"/>
      <c r="N45" s="100"/>
      <c r="O45" s="100"/>
      <c r="P45" s="100"/>
      <c r="Q45" s="100"/>
      <c r="R45" s="516"/>
    </row>
  </sheetData>
  <mergeCells count="1">
    <mergeCell ref="E3:Q3"/>
  </mergeCells>
  <pageMargins left="0.70866141732283472" right="0.70866141732283472" top="0.74803149606299213" bottom="0.74803149606299213" header="0.31496062992125984" footer="0.31496062992125984"/>
  <pageSetup paperSize="9" scale="63" orientation="portrait" r:id="rId1"/>
  <drawing r:id="rId2"/>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0805A1-BFF2-4E4D-8351-E73A59AFCCE0}">
  <sheetPr>
    <tabColor theme="0"/>
    <pageSetUpPr fitToPage="1"/>
  </sheetPr>
  <dimension ref="B1:B64"/>
  <sheetViews>
    <sheetView showGridLines="0" view="pageLayout" topLeftCell="A6" zoomScale="80" zoomScaleNormal="100" zoomScalePageLayoutView="80" workbookViewId="0">
      <selection activeCell="B81" sqref="B81"/>
    </sheetView>
  </sheetViews>
  <sheetFormatPr defaultColWidth="9.140625" defaultRowHeight="15.75" x14ac:dyDescent="0.25"/>
  <cols>
    <col min="1" max="1" width="3.5703125" style="880" customWidth="1"/>
    <col min="2" max="2" width="119.7109375" style="880" customWidth="1"/>
    <col min="3" max="16384" width="9.140625" style="880"/>
  </cols>
  <sheetData>
    <row r="1" spans="2:2" ht="16.5" thickBot="1" x14ac:dyDescent="0.3"/>
    <row r="2" spans="2:2" ht="21.75" customHeight="1" x14ac:dyDescent="0.25">
      <c r="B2" s="1719" t="s">
        <v>1678</v>
      </c>
    </row>
    <row r="3" spans="2:2" ht="67.5" customHeight="1" x14ac:dyDescent="0.25">
      <c r="B3" s="1662" t="s">
        <v>2646</v>
      </c>
    </row>
    <row r="4" spans="2:2" ht="34.5" customHeight="1" x14ac:dyDescent="0.25">
      <c r="B4" s="1662" t="s">
        <v>2647</v>
      </c>
    </row>
    <row r="5" spans="2:2" ht="30.75" customHeight="1" x14ac:dyDescent="0.25">
      <c r="B5" s="1662" t="s">
        <v>2648</v>
      </c>
    </row>
    <row r="6" spans="2:2" ht="58.5" customHeight="1" x14ac:dyDescent="0.25">
      <c r="B6" s="1662" t="s">
        <v>2649</v>
      </c>
    </row>
    <row r="7" spans="2:2" ht="33.75" customHeight="1" x14ac:dyDescent="0.25">
      <c r="B7" s="1662" t="s">
        <v>2650</v>
      </c>
    </row>
    <row r="8" spans="2:2" ht="33" customHeight="1" x14ac:dyDescent="0.25">
      <c r="B8" s="1662" t="s">
        <v>2651</v>
      </c>
    </row>
    <row r="9" spans="2:2" ht="33.75" customHeight="1" x14ac:dyDescent="0.25">
      <c r="B9" s="1662" t="s">
        <v>2896</v>
      </c>
    </row>
    <row r="10" spans="2:2" ht="42.75" customHeight="1" x14ac:dyDescent="0.25">
      <c r="B10" s="1662" t="s">
        <v>2652</v>
      </c>
    </row>
    <row r="11" spans="2:2" ht="39.75" customHeight="1" x14ac:dyDescent="0.25">
      <c r="B11" s="1662" t="s">
        <v>2653</v>
      </c>
    </row>
    <row r="12" spans="2:2" ht="64.5" customHeight="1" x14ac:dyDescent="0.25">
      <c r="B12" s="1663" t="s">
        <v>2654</v>
      </c>
    </row>
    <row r="13" spans="2:2" ht="42.75" customHeight="1" x14ac:dyDescent="0.25">
      <c r="B13" s="1662" t="s">
        <v>2334</v>
      </c>
    </row>
    <row r="14" spans="2:2" ht="34.5" customHeight="1" x14ac:dyDescent="0.25">
      <c r="B14" s="1662" t="s">
        <v>2292</v>
      </c>
    </row>
    <row r="15" spans="2:2" ht="76.5" customHeight="1" thickBot="1" x14ac:dyDescent="0.3">
      <c r="B15" s="1720" t="s">
        <v>2659</v>
      </c>
    </row>
    <row r="64" ht="1.5" customHeight="1" x14ac:dyDescent="0.25"/>
  </sheetData>
  <pageMargins left="0.70866141732283472" right="0.70866141732283472" top="0.74803149606299213" bottom="0.74803149606299213" header="0.31496062992125984" footer="0.31496062992125984"/>
  <pageSetup paperSize="9" scale="70" orientation="portrait" r:id="rId1"/>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0346A9-24CD-4B1B-9CB5-4A7E62686968}">
  <sheetPr>
    <tabColor theme="0"/>
    <pageSetUpPr fitToPage="1"/>
  </sheetPr>
  <dimension ref="A1:X1048561"/>
  <sheetViews>
    <sheetView view="pageLayout" topLeftCell="B27" zoomScale="60" zoomScaleNormal="80" zoomScalePageLayoutView="60" workbookViewId="0">
      <selection activeCell="B81" sqref="B81"/>
    </sheetView>
  </sheetViews>
  <sheetFormatPr defaultColWidth="0" defaultRowHeight="0" customHeight="1" zeroHeight="1" x14ac:dyDescent="0.25"/>
  <cols>
    <col min="1" max="1" width="9.140625" style="474" hidden="1" customWidth="1"/>
    <col min="2" max="2" width="9.140625" style="474" customWidth="1"/>
    <col min="3" max="3" width="50.7109375" style="474" customWidth="1"/>
    <col min="4" max="4" width="11.28515625" style="476" hidden="1" customWidth="1"/>
    <col min="5" max="5" width="10.7109375" style="476" hidden="1" customWidth="1"/>
    <col min="6" max="6" width="10.42578125" style="476" hidden="1" customWidth="1"/>
    <col min="7" max="7" width="11.5703125" style="476" hidden="1" customWidth="1"/>
    <col min="8" max="9" width="11.5703125" style="476" customWidth="1"/>
    <col min="10" max="13" width="15.42578125" style="476" customWidth="1"/>
    <col min="14" max="14" width="39.42578125" style="474" customWidth="1"/>
    <col min="15" max="24" width="0" style="474" hidden="1" customWidth="1"/>
    <col min="25" max="16384" width="9.140625" style="474" hidden="1"/>
  </cols>
  <sheetData>
    <row r="1" spans="1:13" ht="15.75" customHeight="1" x14ac:dyDescent="0.25"/>
    <row r="2" spans="1:13" ht="17.25" customHeight="1" x14ac:dyDescent="0.25">
      <c r="A2" s="473" t="s">
        <v>296</v>
      </c>
      <c r="B2" s="473"/>
      <c r="C2" s="2562" t="s">
        <v>1679</v>
      </c>
      <c r="D2" s="2562"/>
      <c r="E2" s="2562"/>
      <c r="F2" s="2562"/>
      <c r="G2" s="2562"/>
      <c r="H2" s="2562"/>
      <c r="I2" s="2562"/>
      <c r="J2" s="2562"/>
      <c r="K2" s="2562"/>
      <c r="L2" s="2562"/>
      <c r="M2" s="2562"/>
    </row>
    <row r="3" spans="1:13" ht="16.5" customHeight="1" x14ac:dyDescent="0.25">
      <c r="C3" s="2562"/>
      <c r="D3" s="2562"/>
      <c r="E3" s="2562"/>
      <c r="F3" s="2562"/>
      <c r="G3" s="2562"/>
      <c r="H3" s="2562"/>
      <c r="I3" s="2562"/>
      <c r="J3" s="2562"/>
      <c r="K3" s="2562"/>
      <c r="L3" s="2562"/>
      <c r="M3" s="2562"/>
    </row>
    <row r="4" spans="1:13" ht="16.5" x14ac:dyDescent="0.25">
      <c r="C4" s="976" t="s">
        <v>4</v>
      </c>
      <c r="D4" s="475" t="s">
        <v>1394</v>
      </c>
      <c r="E4" s="475" t="s">
        <v>1395</v>
      </c>
      <c r="F4" s="475" t="s">
        <v>7</v>
      </c>
      <c r="G4" s="475" t="s">
        <v>8</v>
      </c>
      <c r="H4" s="475" t="s">
        <v>76</v>
      </c>
      <c r="I4" s="475" t="s">
        <v>77</v>
      </c>
      <c r="J4" s="239" t="s">
        <v>11</v>
      </c>
      <c r="K4" s="239" t="s">
        <v>382</v>
      </c>
      <c r="L4" s="239" t="s">
        <v>2309</v>
      </c>
      <c r="M4" s="485" t="s">
        <v>2536</v>
      </c>
    </row>
    <row r="5" spans="1:13" ht="15.75" x14ac:dyDescent="0.25">
      <c r="C5" s="2563" t="s">
        <v>1647</v>
      </c>
      <c r="D5" s="2564"/>
      <c r="E5" s="2564"/>
      <c r="F5" s="2564"/>
      <c r="G5" s="2564"/>
      <c r="H5" s="2564"/>
      <c r="I5" s="2564"/>
      <c r="J5" s="2564"/>
      <c r="K5" s="2564"/>
      <c r="L5" s="2564"/>
      <c r="M5" s="2565"/>
    </row>
    <row r="6" spans="1:13" ht="16.5" x14ac:dyDescent="0.25">
      <c r="C6" s="977" t="s">
        <v>1680</v>
      </c>
      <c r="D6" s="850">
        <v>11253</v>
      </c>
      <c r="E6" s="850">
        <v>12364</v>
      </c>
      <c r="F6" s="850">
        <v>12786</v>
      </c>
      <c r="G6" s="850">
        <v>12823</v>
      </c>
      <c r="H6" s="850">
        <v>12072</v>
      </c>
      <c r="I6" s="850">
        <v>12238</v>
      </c>
      <c r="J6" s="850">
        <v>12831</v>
      </c>
      <c r="K6" s="850">
        <v>12777.616536045178</v>
      </c>
      <c r="L6" s="1664">
        <v>12784.747430000001</v>
      </c>
      <c r="M6" s="1664">
        <v>13035</v>
      </c>
    </row>
    <row r="7" spans="1:13" ht="16.5" x14ac:dyDescent="0.25">
      <c r="C7" s="977" t="s">
        <v>1681</v>
      </c>
      <c r="D7" s="850">
        <v>21608</v>
      </c>
      <c r="E7" s="850">
        <v>23342</v>
      </c>
      <c r="F7" s="850">
        <v>24906.789333447072</v>
      </c>
      <c r="G7" s="850">
        <v>26329.779999007216</v>
      </c>
      <c r="H7" s="850">
        <f>H8+H17</f>
        <v>27539.949806057368</v>
      </c>
      <c r="I7" s="850">
        <f>I8+I17</f>
        <v>28253.399999999998</v>
      </c>
      <c r="J7" s="850">
        <f>J8+J17</f>
        <v>28503.199999999997</v>
      </c>
      <c r="K7" s="850">
        <v>29663.496090000001</v>
      </c>
      <c r="L7" s="1664">
        <v>31328.2</v>
      </c>
      <c r="M7" s="2380">
        <v>33172</v>
      </c>
    </row>
    <row r="8" spans="1:13" ht="16.5" x14ac:dyDescent="0.25">
      <c r="C8" s="978" t="s">
        <v>1682</v>
      </c>
      <c r="D8" s="850">
        <v>21179</v>
      </c>
      <c r="E8" s="850">
        <v>22977</v>
      </c>
      <c r="F8" s="850">
        <v>24590.805107447071</v>
      </c>
      <c r="G8" s="850">
        <v>26125.744224007216</v>
      </c>
      <c r="H8" s="850">
        <v>27475.749806057367</v>
      </c>
      <c r="I8" s="850">
        <v>28253.3</v>
      </c>
      <c r="J8" s="850">
        <v>28503.1</v>
      </c>
      <c r="K8" s="850">
        <v>29649.4</v>
      </c>
      <c r="L8" s="1664">
        <v>31190</v>
      </c>
      <c r="M8" s="2380">
        <v>32955.599999999999</v>
      </c>
    </row>
    <row r="9" spans="1:13" ht="16.5" x14ac:dyDescent="0.25">
      <c r="C9" s="979" t="s">
        <v>1683</v>
      </c>
      <c r="D9" s="424"/>
      <c r="E9" s="424"/>
      <c r="F9" s="424"/>
      <c r="G9" s="424"/>
      <c r="H9" s="424"/>
      <c r="I9" s="424"/>
      <c r="J9" s="834"/>
      <c r="K9" s="834"/>
      <c r="L9" s="834"/>
      <c r="M9" s="2381"/>
    </row>
    <row r="10" spans="1:13" ht="15.75" x14ac:dyDescent="0.25">
      <c r="C10" s="979" t="s">
        <v>1684</v>
      </c>
      <c r="D10" s="424">
        <v>18871</v>
      </c>
      <c r="E10" s="424">
        <v>20352</v>
      </c>
      <c r="F10" s="424">
        <v>21728.020387235083</v>
      </c>
      <c r="G10" s="424">
        <v>23075.968025542243</v>
      </c>
      <c r="H10" s="424">
        <v>25117.077291020323</v>
      </c>
      <c r="I10" s="424">
        <v>25501.599999999999</v>
      </c>
      <c r="J10" s="424">
        <v>25381.5</v>
      </c>
      <c r="K10" s="424">
        <v>26207.5</v>
      </c>
      <c r="L10" s="424">
        <v>27653.543146592005</v>
      </c>
      <c r="M10" s="1445">
        <v>28747.4</v>
      </c>
    </row>
    <row r="11" spans="1:13" ht="15.75" x14ac:dyDescent="0.25">
      <c r="C11" s="979" t="s">
        <v>1685</v>
      </c>
      <c r="D11" s="424">
        <v>1776</v>
      </c>
      <c r="E11" s="424">
        <v>2086</v>
      </c>
      <c r="F11" s="424">
        <v>2364.3894175119899</v>
      </c>
      <c r="G11" s="424">
        <v>2614.4304898749715</v>
      </c>
      <c r="H11" s="424">
        <v>1884.9121816810436</v>
      </c>
      <c r="I11" s="424">
        <v>2238.8000000000002</v>
      </c>
      <c r="J11" s="424">
        <v>2606</v>
      </c>
      <c r="K11" s="424">
        <v>2760.2</v>
      </c>
      <c r="L11" s="424">
        <v>2679.813693930002</v>
      </c>
      <c r="M11" s="1445">
        <v>2989.6</v>
      </c>
    </row>
    <row r="12" spans="1:13" ht="15.75" x14ac:dyDescent="0.25">
      <c r="C12" s="979" t="s">
        <v>1686</v>
      </c>
      <c r="D12" s="424">
        <v>364</v>
      </c>
      <c r="E12" s="424">
        <v>355</v>
      </c>
      <c r="F12" s="424">
        <v>318.09848945199963</v>
      </c>
      <c r="G12" s="424">
        <v>263.47599067400029</v>
      </c>
      <c r="H12" s="424">
        <v>355.47447935400044</v>
      </c>
      <c r="I12" s="424">
        <v>390.9</v>
      </c>
      <c r="J12" s="424">
        <v>408.9</v>
      </c>
      <c r="K12" s="424">
        <v>593.79999999999995</v>
      </c>
      <c r="L12" s="424">
        <v>784</v>
      </c>
      <c r="M12" s="1445">
        <v>1149.5999999999999</v>
      </c>
    </row>
    <row r="13" spans="1:13" ht="15.75" x14ac:dyDescent="0.25">
      <c r="C13" s="979" t="s">
        <v>1687</v>
      </c>
      <c r="D13" s="424">
        <v>167</v>
      </c>
      <c r="E13" s="424">
        <v>184</v>
      </c>
      <c r="F13" s="424">
        <v>180.29681324799992</v>
      </c>
      <c r="G13" s="424">
        <v>171.86971791600013</v>
      </c>
      <c r="H13" s="424">
        <v>118.28585400199995</v>
      </c>
      <c r="I13" s="424">
        <v>122</v>
      </c>
      <c r="J13" s="424">
        <v>106.7</v>
      </c>
      <c r="K13" s="424">
        <v>88</v>
      </c>
      <c r="L13" s="424">
        <v>72.919953672000005</v>
      </c>
      <c r="M13" s="1445">
        <v>69.099999999999994</v>
      </c>
    </row>
    <row r="14" spans="1:13" ht="16.5" x14ac:dyDescent="0.25">
      <c r="C14" s="978" t="s">
        <v>1502</v>
      </c>
      <c r="D14" s="850">
        <v>11096.988554</v>
      </c>
      <c r="E14" s="850">
        <v>11379.114519999996</v>
      </c>
      <c r="F14" s="850">
        <v>13235.056104999998</v>
      </c>
      <c r="G14" s="850">
        <v>14808.723828</v>
      </c>
      <c r="H14" s="850">
        <f>H16+H17</f>
        <v>16476.2</v>
      </c>
      <c r="I14" s="850">
        <f>I16+I17</f>
        <v>17125.433506000001</v>
      </c>
      <c r="J14" s="850">
        <f>J16+J17</f>
        <v>18309.099999999999</v>
      </c>
      <c r="K14" s="850">
        <v>18461</v>
      </c>
      <c r="L14" s="850">
        <v>20839.5</v>
      </c>
      <c r="M14" s="2380">
        <v>21453.801223999999</v>
      </c>
    </row>
    <row r="15" spans="1:13" ht="15" customHeight="1" x14ac:dyDescent="0.25">
      <c r="B15" s="1455"/>
      <c r="C15" s="979" t="s">
        <v>1683</v>
      </c>
      <c r="D15" s="424"/>
      <c r="E15" s="424"/>
      <c r="F15" s="424"/>
      <c r="G15" s="424"/>
      <c r="H15" s="424"/>
      <c r="I15" s="424"/>
      <c r="J15" s="834"/>
      <c r="K15" s="834"/>
      <c r="L15" s="834"/>
      <c r="M15" s="2381"/>
    </row>
    <row r="16" spans="1:13" ht="15.75" x14ac:dyDescent="0.25">
      <c r="C16" s="979" t="s">
        <v>1688</v>
      </c>
      <c r="D16" s="853">
        <v>10667.988554</v>
      </c>
      <c r="E16" s="424">
        <v>11015.114519999996</v>
      </c>
      <c r="F16" s="424">
        <v>12919.071878999997</v>
      </c>
      <c r="G16" s="424">
        <v>14604.688053</v>
      </c>
      <c r="H16" s="424">
        <v>16412</v>
      </c>
      <c r="I16" s="424">
        <v>17125.333506000003</v>
      </c>
      <c r="J16" s="424">
        <v>18309</v>
      </c>
      <c r="K16" s="424">
        <v>18446.903910000001</v>
      </c>
      <c r="L16" s="947">
        <v>20708.918016916668</v>
      </c>
      <c r="M16" s="1445">
        <v>21237</v>
      </c>
    </row>
    <row r="17" spans="3:13" ht="15.75" x14ac:dyDescent="0.25">
      <c r="C17" s="979" t="s">
        <v>1689</v>
      </c>
      <c r="D17" s="853">
        <v>429</v>
      </c>
      <c r="E17" s="424">
        <v>364</v>
      </c>
      <c r="F17" s="424">
        <v>315.98422599999998</v>
      </c>
      <c r="G17" s="424">
        <v>204.035775</v>
      </c>
      <c r="H17" s="424">
        <v>64.2</v>
      </c>
      <c r="I17" s="216">
        <v>0.1</v>
      </c>
      <c r="J17" s="216">
        <v>0.1</v>
      </c>
      <c r="K17" s="216">
        <v>14.09609</v>
      </c>
      <c r="L17" s="392">
        <v>130.58198308333331</v>
      </c>
      <c r="M17" s="2382">
        <v>216.80122399999999</v>
      </c>
    </row>
    <row r="18" spans="3:13" ht="16.5" x14ac:dyDescent="0.25">
      <c r="C18" s="978" t="s">
        <v>1690</v>
      </c>
      <c r="D18" s="854">
        <v>0.49370603480192521</v>
      </c>
      <c r="E18" s="855">
        <v>0.47190467708563211</v>
      </c>
      <c r="F18" s="855">
        <v>0.5186967981317091</v>
      </c>
      <c r="G18" s="855">
        <v>0.51</v>
      </c>
      <c r="H18" s="855">
        <v>0.56000000000000005</v>
      </c>
      <c r="I18" s="855">
        <v>0.56999999999999995</v>
      </c>
      <c r="J18" s="855">
        <v>0.55000000000000004</v>
      </c>
      <c r="K18" s="855">
        <v>0.56924778868689385</v>
      </c>
      <c r="L18" s="1665">
        <v>0.59199999999999997</v>
      </c>
      <c r="M18" s="2383">
        <v>0.60799999999999998</v>
      </c>
    </row>
    <row r="19" spans="3:13" ht="15.75" x14ac:dyDescent="0.25">
      <c r="C19" s="2547" t="s">
        <v>1691</v>
      </c>
      <c r="D19" s="2548"/>
      <c r="E19" s="2548"/>
      <c r="F19" s="2548"/>
      <c r="G19" s="2548"/>
      <c r="H19" s="2548"/>
      <c r="I19" s="2548"/>
      <c r="J19" s="2548"/>
      <c r="K19" s="2548"/>
      <c r="L19" s="2548"/>
      <c r="M19" s="2549"/>
    </row>
    <row r="20" spans="3:13" ht="20.25" customHeight="1" x14ac:dyDescent="0.25">
      <c r="C20" s="978" t="s">
        <v>1692</v>
      </c>
      <c r="D20" s="856">
        <v>331.73</v>
      </c>
      <c r="E20" s="856">
        <v>284.7</v>
      </c>
      <c r="F20" s="856">
        <v>455.14794000000006</v>
      </c>
      <c r="G20" s="856">
        <v>161.11953</v>
      </c>
      <c r="H20" s="856">
        <v>85.823790000000002</v>
      </c>
      <c r="I20" s="856">
        <v>158.38512000000003</v>
      </c>
      <c r="J20" s="856">
        <v>101.16337</v>
      </c>
      <c r="K20" s="856">
        <v>112.46042000000001</v>
      </c>
      <c r="L20" s="1666">
        <v>43.627620000000007</v>
      </c>
      <c r="M20" s="1666">
        <v>66.959999999999994</v>
      </c>
    </row>
    <row r="21" spans="3:13" ht="15.75" x14ac:dyDescent="0.25">
      <c r="C21" s="980" t="s">
        <v>1693</v>
      </c>
      <c r="D21" s="853" t="s">
        <v>1625</v>
      </c>
      <c r="E21" s="857" t="s">
        <v>1627</v>
      </c>
      <c r="F21" s="853" t="s">
        <v>1629</v>
      </c>
      <c r="G21" s="853" t="s">
        <v>1542</v>
      </c>
      <c r="H21" s="853" t="s">
        <v>1543</v>
      </c>
      <c r="I21" s="853" t="s">
        <v>1544</v>
      </c>
      <c r="J21" s="853" t="s">
        <v>1694</v>
      </c>
      <c r="K21" s="853" t="s">
        <v>2335</v>
      </c>
      <c r="L21" s="1667" t="s">
        <v>2311</v>
      </c>
      <c r="M21" s="1667" t="s">
        <v>2539</v>
      </c>
    </row>
    <row r="22" spans="3:13" ht="16.5" x14ac:dyDescent="0.25">
      <c r="C22" s="981" t="s">
        <v>1695</v>
      </c>
      <c r="D22" s="858">
        <v>1987.64</v>
      </c>
      <c r="E22" s="858">
        <v>2242.6999999999998</v>
      </c>
      <c r="F22" s="858">
        <v>2653.6522500000005</v>
      </c>
      <c r="G22" s="858">
        <v>2787.0973599999998</v>
      </c>
      <c r="H22" s="858">
        <v>2894.8314499999997</v>
      </c>
      <c r="I22" s="858">
        <v>3053.2409400000001</v>
      </c>
      <c r="J22" s="858">
        <v>3140.3278099999998</v>
      </c>
      <c r="K22" s="858">
        <v>3242.2</v>
      </c>
      <c r="L22" s="1668">
        <v>3296.9809700000005</v>
      </c>
      <c r="M22" s="1668">
        <v>3339.2</v>
      </c>
    </row>
    <row r="23" spans="3:13" ht="16.5" x14ac:dyDescent="0.25">
      <c r="C23" s="981" t="s">
        <v>1696</v>
      </c>
      <c r="D23" s="858">
        <v>200.3</v>
      </c>
      <c r="E23" s="858">
        <v>356</v>
      </c>
      <c r="F23" s="858">
        <v>718.97609</v>
      </c>
      <c r="G23" s="858">
        <v>801.62428999999997</v>
      </c>
      <c r="H23" s="858">
        <v>800.36180000000002</v>
      </c>
      <c r="I23" s="858">
        <v>899.03130999999996</v>
      </c>
      <c r="J23" s="858">
        <v>958.59418000000005</v>
      </c>
      <c r="K23" s="858">
        <v>1032.7</v>
      </c>
      <c r="L23" s="1668">
        <v>1033.2491600000001</v>
      </c>
      <c r="M23" s="1668">
        <v>1057.55</v>
      </c>
    </row>
    <row r="24" spans="3:13" ht="16.5" x14ac:dyDescent="0.25">
      <c r="C24" s="981" t="s">
        <v>1697</v>
      </c>
      <c r="D24" s="858">
        <v>25.3</v>
      </c>
      <c r="E24" s="858">
        <v>27.9</v>
      </c>
      <c r="F24" s="858">
        <v>30.248269999999994</v>
      </c>
      <c r="G24" s="858">
        <v>32.354520000000001</v>
      </c>
      <c r="H24" s="1669">
        <v>33.948480000000004</v>
      </c>
      <c r="I24" s="1669">
        <v>35.199239999999989</v>
      </c>
      <c r="J24" s="1669">
        <v>35.89143</v>
      </c>
      <c r="K24" s="1669">
        <v>31.917960000000001</v>
      </c>
      <c r="L24" s="1670">
        <v>37.307789999999997</v>
      </c>
      <c r="M24" s="1670">
        <v>34.474910000000001</v>
      </c>
    </row>
    <row r="25" spans="3:13" ht="15.75" x14ac:dyDescent="0.25">
      <c r="C25" s="2547" t="s">
        <v>1698</v>
      </c>
      <c r="D25" s="2548"/>
      <c r="E25" s="2548"/>
      <c r="F25" s="2548"/>
      <c r="G25" s="2548"/>
      <c r="H25" s="2548"/>
      <c r="I25" s="2548"/>
      <c r="J25" s="2548"/>
      <c r="K25" s="2548"/>
      <c r="L25" s="2548"/>
      <c r="M25" s="2549"/>
    </row>
    <row r="26" spans="3:13" ht="16.5" x14ac:dyDescent="0.25">
      <c r="C26" s="981" t="s">
        <v>1699</v>
      </c>
      <c r="D26" s="859">
        <v>72.8</v>
      </c>
      <c r="E26" s="859">
        <v>80.900000000000006</v>
      </c>
      <c r="F26" s="859">
        <v>94.280027905758274</v>
      </c>
      <c r="G26" s="859">
        <v>97.53052732844246</v>
      </c>
      <c r="H26" s="859">
        <v>99.798238842008431</v>
      </c>
      <c r="I26" s="860" t="s">
        <v>1106</v>
      </c>
      <c r="J26" s="860" t="s">
        <v>1106</v>
      </c>
      <c r="K26" s="860" t="s">
        <v>1106</v>
      </c>
      <c r="L26" s="982" t="s">
        <v>1106</v>
      </c>
      <c r="M26" s="982" t="s">
        <v>1106</v>
      </c>
    </row>
    <row r="27" spans="3:13" ht="15.75" x14ac:dyDescent="0.25">
      <c r="C27" s="2547" t="s">
        <v>1700</v>
      </c>
      <c r="D27" s="2548"/>
      <c r="E27" s="2548"/>
      <c r="F27" s="2548"/>
      <c r="G27" s="2548"/>
      <c r="H27" s="2548"/>
      <c r="I27" s="2548"/>
      <c r="J27" s="2548"/>
      <c r="K27" s="2548"/>
      <c r="L27" s="2548"/>
      <c r="M27" s="2549"/>
    </row>
    <row r="28" spans="3:13" ht="16.5" x14ac:dyDescent="0.25">
      <c r="C28" s="981" t="s">
        <v>1701</v>
      </c>
      <c r="D28" s="861">
        <v>18786</v>
      </c>
      <c r="E28" s="861">
        <v>20146</v>
      </c>
      <c r="F28" s="861">
        <v>23737</v>
      </c>
      <c r="G28" s="861">
        <v>24670</v>
      </c>
      <c r="H28" s="861">
        <v>25083</v>
      </c>
      <c r="I28" s="861">
        <v>25269</v>
      </c>
      <c r="J28" s="861">
        <v>25385</v>
      </c>
      <c r="K28" s="1671">
        <v>25481</v>
      </c>
      <c r="L28" s="1668">
        <v>25566</v>
      </c>
      <c r="M28" s="1668">
        <v>25607</v>
      </c>
    </row>
    <row r="29" spans="3:13" ht="15.75" x14ac:dyDescent="0.25">
      <c r="C29" s="983" t="s">
        <v>1683</v>
      </c>
      <c r="D29" s="862"/>
      <c r="E29" s="862"/>
      <c r="F29" s="862"/>
      <c r="G29" s="862"/>
      <c r="H29" s="862"/>
      <c r="I29" s="863"/>
      <c r="J29" s="863"/>
      <c r="K29" s="1672"/>
      <c r="L29" s="1667"/>
      <c r="M29" s="1667"/>
    </row>
    <row r="30" spans="3:13" ht="15.75" x14ac:dyDescent="0.25">
      <c r="C30" s="984" t="s">
        <v>1702</v>
      </c>
      <c r="D30" s="862">
        <v>7677</v>
      </c>
      <c r="E30" s="862">
        <v>7821</v>
      </c>
      <c r="F30" s="862">
        <v>7908</v>
      </c>
      <c r="G30" s="862">
        <v>7914</v>
      </c>
      <c r="H30" s="862">
        <v>7899</v>
      </c>
      <c r="I30" s="862">
        <v>7894</v>
      </c>
      <c r="J30" s="862">
        <v>7925</v>
      </c>
      <c r="K30" s="1673">
        <v>7921</v>
      </c>
      <c r="L30" s="1667">
        <v>7925</v>
      </c>
      <c r="M30" s="1667">
        <v>7924</v>
      </c>
    </row>
    <row r="31" spans="3:13" ht="15.75" x14ac:dyDescent="0.25">
      <c r="C31" s="983" t="s">
        <v>1703</v>
      </c>
      <c r="D31" s="862">
        <v>3152</v>
      </c>
      <c r="E31" s="862">
        <v>3463</v>
      </c>
      <c r="F31" s="862">
        <v>3626</v>
      </c>
      <c r="G31" s="862">
        <v>3671</v>
      </c>
      <c r="H31" s="862">
        <v>3697</v>
      </c>
      <c r="I31" s="862">
        <v>3720</v>
      </c>
      <c r="J31" s="862">
        <v>3716</v>
      </c>
      <c r="K31" s="1673">
        <v>3754</v>
      </c>
      <c r="L31" s="1667">
        <v>3774</v>
      </c>
      <c r="M31" s="1667">
        <v>3789</v>
      </c>
    </row>
    <row r="32" spans="3:13" ht="15.75" x14ac:dyDescent="0.25">
      <c r="C32" s="983" t="s">
        <v>1704</v>
      </c>
      <c r="D32" s="862">
        <v>7957</v>
      </c>
      <c r="E32" s="862">
        <v>8862</v>
      </c>
      <c r="F32" s="862">
        <v>12203</v>
      </c>
      <c r="G32" s="862">
        <v>13085</v>
      </c>
      <c r="H32" s="862">
        <v>13487</v>
      </c>
      <c r="I32" s="862">
        <v>13655</v>
      </c>
      <c r="J32" s="862">
        <v>13744</v>
      </c>
      <c r="K32" s="1673">
        <v>13806</v>
      </c>
      <c r="L32" s="1667">
        <v>13867</v>
      </c>
      <c r="M32" s="1667">
        <v>13894</v>
      </c>
    </row>
    <row r="33" spans="1:14" ht="16.5" x14ac:dyDescent="0.25">
      <c r="C33" s="981" t="s">
        <v>1705</v>
      </c>
      <c r="D33" s="861">
        <v>675</v>
      </c>
      <c r="E33" s="861">
        <v>672</v>
      </c>
      <c r="F33" s="861">
        <v>661</v>
      </c>
      <c r="G33" s="861">
        <v>657</v>
      </c>
      <c r="H33" s="861">
        <v>651</v>
      </c>
      <c r="I33" s="861">
        <v>601</v>
      </c>
      <c r="J33" s="864">
        <v>525</v>
      </c>
      <c r="K33" s="1674">
        <v>468</v>
      </c>
      <c r="L33" s="1668">
        <v>440</v>
      </c>
      <c r="M33" s="1668">
        <v>364</v>
      </c>
    </row>
    <row r="34" spans="1:14" ht="15.75" x14ac:dyDescent="0.25">
      <c r="C34" s="2547" t="s">
        <v>1706</v>
      </c>
      <c r="D34" s="2548"/>
      <c r="E34" s="2548"/>
      <c r="F34" s="2548"/>
      <c r="G34" s="2548"/>
      <c r="H34" s="2548"/>
      <c r="I34" s="2548"/>
      <c r="J34" s="2548"/>
      <c r="K34" s="2548"/>
      <c r="L34" s="2548"/>
      <c r="M34" s="2549"/>
      <c r="N34" s="474" t="s">
        <v>186</v>
      </c>
    </row>
    <row r="35" spans="1:14" ht="16.5" x14ac:dyDescent="0.25">
      <c r="C35" s="977" t="s">
        <v>1707</v>
      </c>
      <c r="D35" s="861">
        <v>16264</v>
      </c>
      <c r="E35" s="861">
        <v>17395</v>
      </c>
      <c r="F35" s="861">
        <v>18338</v>
      </c>
      <c r="G35" s="861">
        <v>20292</v>
      </c>
      <c r="H35" s="861">
        <v>21249</v>
      </c>
      <c r="I35" s="861">
        <v>21573</v>
      </c>
      <c r="J35" s="861">
        <v>22225</v>
      </c>
      <c r="K35" s="1671">
        <v>22843</v>
      </c>
      <c r="L35" s="1668">
        <v>23083</v>
      </c>
      <c r="M35" s="1668">
        <v>23038</v>
      </c>
    </row>
    <row r="36" spans="1:14" ht="15.75" x14ac:dyDescent="0.25">
      <c r="C36" s="2547" t="s">
        <v>1647</v>
      </c>
      <c r="D36" s="2548"/>
      <c r="E36" s="2548"/>
      <c r="F36" s="2548"/>
      <c r="G36" s="2548"/>
      <c r="H36" s="2548"/>
      <c r="I36" s="2548"/>
      <c r="J36" s="2548"/>
      <c r="K36" s="2548"/>
      <c r="L36" s="2548"/>
      <c r="M36" s="2549"/>
    </row>
    <row r="37" spans="1:14" ht="16.5" x14ac:dyDescent="0.25">
      <c r="C37" s="977" t="s">
        <v>1708</v>
      </c>
      <c r="D37" s="861">
        <v>878</v>
      </c>
      <c r="E37" s="861">
        <v>912</v>
      </c>
      <c r="F37" s="861">
        <v>929.36699999999996</v>
      </c>
      <c r="G37" s="861">
        <v>978.26299999999992</v>
      </c>
      <c r="H37" s="861">
        <v>994</v>
      </c>
      <c r="I37" s="861">
        <v>1088.3399999999999</v>
      </c>
      <c r="J37" s="861">
        <v>1178.06</v>
      </c>
      <c r="K37" s="861">
        <v>1240.9100000000001</v>
      </c>
      <c r="L37" s="858">
        <v>1338.9840000000002</v>
      </c>
      <c r="M37" s="858">
        <v>1583.3</v>
      </c>
    </row>
    <row r="38" spans="1:14" ht="15.75" customHeight="1" x14ac:dyDescent="0.25">
      <c r="C38" s="2544" t="s">
        <v>1709</v>
      </c>
      <c r="D38" s="2545"/>
      <c r="E38" s="2545"/>
      <c r="F38" s="2545"/>
      <c r="G38" s="2545"/>
      <c r="H38" s="2545"/>
      <c r="I38" s="2545"/>
      <c r="J38" s="2545"/>
      <c r="K38" s="2545"/>
      <c r="L38" s="2545"/>
      <c r="M38" s="2546"/>
    </row>
    <row r="39" spans="1:14" ht="18.75" customHeight="1" x14ac:dyDescent="0.25">
      <c r="C39" s="2544" t="s">
        <v>945</v>
      </c>
      <c r="D39" s="2545"/>
      <c r="E39" s="2545"/>
      <c r="F39" s="2545"/>
      <c r="G39" s="2545"/>
      <c r="H39" s="2545"/>
      <c r="I39" s="2545"/>
      <c r="J39" s="2545"/>
      <c r="K39" s="2545"/>
      <c r="L39" s="2545"/>
      <c r="M39" s="2546"/>
    </row>
    <row r="40" spans="1:14" ht="15.75" customHeight="1" x14ac:dyDescent="0.25">
      <c r="C40" s="2550" t="s">
        <v>1710</v>
      </c>
      <c r="D40" s="2551"/>
      <c r="E40" s="2551"/>
      <c r="F40" s="2551"/>
      <c r="G40" s="2551"/>
      <c r="H40" s="2551"/>
      <c r="I40" s="2551"/>
      <c r="J40" s="2551"/>
      <c r="K40" s="2551"/>
      <c r="L40" s="2551"/>
      <c r="M40" s="2552"/>
    </row>
    <row r="41" spans="1:14" ht="35.25" customHeight="1" x14ac:dyDescent="0.25">
      <c r="C41" s="2550" t="s">
        <v>1711</v>
      </c>
      <c r="D41" s="2551"/>
      <c r="E41" s="2551"/>
      <c r="F41" s="2551"/>
      <c r="G41" s="2551"/>
      <c r="H41" s="2551"/>
      <c r="I41" s="2551"/>
      <c r="J41" s="2551"/>
      <c r="K41" s="2551"/>
      <c r="L41" s="2551"/>
      <c r="M41" s="2552"/>
    </row>
    <row r="42" spans="1:14" ht="48.75" customHeight="1" x14ac:dyDescent="0.25">
      <c r="C42" s="2550" t="s">
        <v>1712</v>
      </c>
      <c r="D42" s="2551"/>
      <c r="E42" s="2551"/>
      <c r="F42" s="2551"/>
      <c r="G42" s="2551"/>
      <c r="H42" s="2551"/>
      <c r="I42" s="2551"/>
      <c r="J42" s="2551"/>
      <c r="K42" s="2551"/>
      <c r="L42" s="2551"/>
      <c r="M42" s="2552"/>
    </row>
    <row r="43" spans="1:14" ht="15" customHeight="1" x14ac:dyDescent="0.25">
      <c r="C43" s="2553" t="s">
        <v>1713</v>
      </c>
      <c r="D43" s="2554"/>
      <c r="E43" s="2554"/>
      <c r="F43" s="2554"/>
      <c r="G43" s="2554"/>
      <c r="H43" s="2554"/>
      <c r="I43" s="2554"/>
      <c r="J43" s="2554"/>
      <c r="K43" s="2554"/>
      <c r="L43" s="2554"/>
      <c r="M43" s="2555"/>
    </row>
    <row r="44" spans="1:14" ht="15.75" x14ac:dyDescent="0.25">
      <c r="C44" s="2556"/>
      <c r="D44" s="2557"/>
      <c r="E44" s="2557"/>
      <c r="F44" s="2557"/>
      <c r="G44" s="2557"/>
      <c r="H44" s="2557"/>
      <c r="I44" s="2557"/>
      <c r="J44" s="2557"/>
      <c r="K44" s="2557"/>
      <c r="L44" s="2557"/>
      <c r="M44" s="2558"/>
    </row>
    <row r="45" spans="1:14" ht="15.75" x14ac:dyDescent="0.25">
      <c r="C45" s="2556"/>
      <c r="D45" s="2557"/>
      <c r="E45" s="2557"/>
      <c r="F45" s="2557"/>
      <c r="G45" s="2557"/>
      <c r="H45" s="2557"/>
      <c r="I45" s="2557"/>
      <c r="J45" s="2557"/>
      <c r="K45" s="2557"/>
      <c r="L45" s="2557"/>
      <c r="M45" s="2558"/>
    </row>
    <row r="46" spans="1:14" ht="54" customHeight="1" x14ac:dyDescent="0.25">
      <c r="A46" s="474" t="s">
        <v>1714</v>
      </c>
      <c r="C46" s="2559"/>
      <c r="D46" s="2560"/>
      <c r="E46" s="2560"/>
      <c r="F46" s="2560"/>
      <c r="G46" s="2560"/>
      <c r="H46" s="2560"/>
      <c r="I46" s="2560"/>
      <c r="J46" s="2560"/>
      <c r="K46" s="2560"/>
      <c r="L46" s="2560"/>
      <c r="M46" s="2561"/>
    </row>
    <row r="47" spans="1:14" ht="16.5" customHeight="1" x14ac:dyDescent="0.25">
      <c r="C47" s="2535"/>
      <c r="D47" s="2536"/>
      <c r="E47" s="2536"/>
      <c r="F47" s="2536"/>
      <c r="G47" s="2536"/>
      <c r="H47" s="2536"/>
      <c r="I47" s="2536"/>
      <c r="J47" s="2536"/>
      <c r="K47" s="2536"/>
      <c r="L47" s="2536"/>
      <c r="M47" s="2537"/>
    </row>
    <row r="48" spans="1:14" ht="16.5" customHeight="1" x14ac:dyDescent="0.25">
      <c r="C48" s="2538"/>
      <c r="D48" s="2539"/>
      <c r="E48" s="2539"/>
      <c r="F48" s="2539"/>
      <c r="G48" s="2539"/>
      <c r="H48" s="2539"/>
      <c r="I48" s="2539"/>
      <c r="J48" s="2539"/>
      <c r="K48" s="2539"/>
      <c r="L48" s="2539"/>
      <c r="M48" s="2540"/>
    </row>
    <row r="49" spans="3:13" ht="16.5" customHeight="1" x14ac:dyDescent="0.25">
      <c r="C49" s="2538"/>
      <c r="D49" s="2539"/>
      <c r="E49" s="2539"/>
      <c r="F49" s="2539"/>
      <c r="G49" s="2539"/>
      <c r="H49" s="2539"/>
      <c r="I49" s="2539"/>
      <c r="J49" s="2539"/>
      <c r="K49" s="2539"/>
      <c r="L49" s="2539"/>
      <c r="M49" s="2540"/>
    </row>
    <row r="50" spans="3:13" ht="16.5" customHeight="1" x14ac:dyDescent="0.25">
      <c r="C50" s="2538"/>
      <c r="D50" s="2539"/>
      <c r="E50" s="2539"/>
      <c r="F50" s="2539"/>
      <c r="G50" s="2539"/>
      <c r="H50" s="2539"/>
      <c r="I50" s="2539"/>
      <c r="J50" s="2539"/>
      <c r="K50" s="2539"/>
      <c r="L50" s="2539"/>
      <c r="M50" s="2540"/>
    </row>
    <row r="51" spans="3:13" ht="16.5" customHeight="1" x14ac:dyDescent="0.25">
      <c r="C51" s="2538"/>
      <c r="D51" s="2539"/>
      <c r="E51" s="2539"/>
      <c r="F51" s="2539"/>
      <c r="G51" s="2539"/>
      <c r="H51" s="2539"/>
      <c r="I51" s="2539"/>
      <c r="J51" s="2539"/>
      <c r="K51" s="2539"/>
      <c r="L51" s="2539"/>
      <c r="M51" s="2540"/>
    </row>
    <row r="52" spans="3:13" ht="16.5" customHeight="1" x14ac:dyDescent="0.25">
      <c r="C52" s="2538"/>
      <c r="D52" s="2539"/>
      <c r="E52" s="2539"/>
      <c r="F52" s="2539"/>
      <c r="G52" s="2539"/>
      <c r="H52" s="2539"/>
      <c r="I52" s="2539"/>
      <c r="J52" s="2539"/>
      <c r="K52" s="2539"/>
      <c r="L52" s="2539"/>
      <c r="M52" s="2540"/>
    </row>
    <row r="53" spans="3:13" ht="16.5" customHeight="1" x14ac:dyDescent="0.25">
      <c r="C53" s="2538"/>
      <c r="D53" s="2539"/>
      <c r="E53" s="2539"/>
      <c r="F53" s="2539"/>
      <c r="G53" s="2539"/>
      <c r="H53" s="2539"/>
      <c r="I53" s="2539"/>
      <c r="J53" s="2539"/>
      <c r="K53" s="2539"/>
      <c r="L53" s="2539"/>
      <c r="M53" s="2540"/>
    </row>
    <row r="54" spans="3:13" ht="15.75" customHeight="1" x14ac:dyDescent="0.25">
      <c r="C54" s="2538"/>
      <c r="D54" s="2539"/>
      <c r="E54" s="2539"/>
      <c r="F54" s="2539"/>
      <c r="G54" s="2539"/>
      <c r="H54" s="2539"/>
      <c r="I54" s="2539"/>
      <c r="J54" s="2539"/>
      <c r="K54" s="2539"/>
      <c r="L54" s="2539"/>
      <c r="M54" s="2540"/>
    </row>
    <row r="55" spans="3:13" ht="15.75" customHeight="1" x14ac:dyDescent="0.25">
      <c r="C55" s="2538"/>
      <c r="D55" s="2539"/>
      <c r="E55" s="2539"/>
      <c r="F55" s="2539"/>
      <c r="G55" s="2539"/>
      <c r="H55" s="2539"/>
      <c r="I55" s="2539"/>
      <c r="J55" s="2539"/>
      <c r="K55" s="2539"/>
      <c r="L55" s="2539"/>
      <c r="M55" s="2540"/>
    </row>
    <row r="56" spans="3:13" ht="15.75" customHeight="1" x14ac:dyDescent="0.25">
      <c r="C56" s="2538"/>
      <c r="D56" s="2539"/>
      <c r="E56" s="2539"/>
      <c r="F56" s="2539"/>
      <c r="G56" s="2539"/>
      <c r="H56" s="2539"/>
      <c r="I56" s="2539"/>
      <c r="J56" s="2539"/>
      <c r="K56" s="2539"/>
      <c r="L56" s="2539"/>
      <c r="M56" s="2540"/>
    </row>
    <row r="57" spans="3:13" ht="137.25" customHeight="1" x14ac:dyDescent="0.25">
      <c r="C57" s="2541"/>
      <c r="D57" s="2542"/>
      <c r="E57" s="2542"/>
      <c r="F57" s="2542"/>
      <c r="G57" s="2542"/>
      <c r="H57" s="2542"/>
      <c r="I57" s="2542"/>
      <c r="J57" s="2542"/>
      <c r="K57" s="2542"/>
      <c r="L57" s="2542"/>
      <c r="M57" s="2543"/>
    </row>
    <row r="64" spans="3:13" ht="1.5" customHeight="1" x14ac:dyDescent="0.25"/>
    <row r="1048561" ht="15.75" customHeight="1" x14ac:dyDescent="0.25"/>
  </sheetData>
  <mergeCells count="14">
    <mergeCell ref="C2:M3"/>
    <mergeCell ref="C25:M25"/>
    <mergeCell ref="C19:M19"/>
    <mergeCell ref="C27:M27"/>
    <mergeCell ref="C5:M5"/>
    <mergeCell ref="C47:M57"/>
    <mergeCell ref="C38:M38"/>
    <mergeCell ref="C34:M34"/>
    <mergeCell ref="C36:M36"/>
    <mergeCell ref="C39:M39"/>
    <mergeCell ref="C40:M40"/>
    <mergeCell ref="C41:M41"/>
    <mergeCell ref="C42:M42"/>
    <mergeCell ref="C43:M46"/>
  </mergeCells>
  <hyperlinks>
    <hyperlink ref="A2" location="CONTENTS!A1" display="Home" xr:uid="{31FC102B-4DA4-4836-A6BB-9309ED3C086E}"/>
  </hyperlinks>
  <pageMargins left="0.70866141732283472" right="0.7085069444444444" top="0.74803149606299213" bottom="0.74803149606299213" header="0.31496062992125984" footer="0.31496062992125984"/>
  <pageSetup paperSize="9" scale="47" orientation="portrait" r:id="rId1"/>
  <drawing r:id="rId2"/>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8101FD4-B71A-4141-AE6C-143CDF76ECE4}">
  <sheetPr>
    <tabColor theme="0"/>
    <pageSetUpPr fitToPage="1"/>
  </sheetPr>
  <dimension ref="A1:R64"/>
  <sheetViews>
    <sheetView showGridLines="0" view="pageBreakPreview" topLeftCell="B39" zoomScale="60" zoomScaleNormal="85" zoomScalePageLayoutView="50" workbookViewId="0">
      <selection activeCell="B81" sqref="B81"/>
    </sheetView>
  </sheetViews>
  <sheetFormatPr defaultColWidth="1.28515625" defaultRowHeight="15.75" x14ac:dyDescent="0.25"/>
  <cols>
    <col min="1" max="1" width="5.85546875" style="390" hidden="1" customWidth="1"/>
    <col min="2" max="2" width="5.85546875" style="390" customWidth="1"/>
    <col min="3" max="3" width="66.140625" style="390" customWidth="1"/>
    <col min="4" max="4" width="25" style="390" customWidth="1"/>
    <col min="5" max="5" width="25.7109375" style="390" customWidth="1"/>
    <col min="6" max="6" width="25" style="390" customWidth="1"/>
    <col min="7" max="7" width="23.28515625" style="390" customWidth="1"/>
    <col min="8" max="8" width="24.28515625" style="477" customWidth="1"/>
    <col min="9" max="9" width="18.42578125" style="477" customWidth="1"/>
    <col min="10" max="10" width="18.85546875" style="477" customWidth="1"/>
    <col min="11" max="11" width="14.85546875" style="477" customWidth="1"/>
    <col min="12" max="12" width="11.5703125" style="390" customWidth="1"/>
    <col min="13" max="43" width="1.28515625" style="390"/>
    <col min="44" max="55" width="15.5703125" style="390" customWidth="1"/>
    <col min="56" max="16384" width="1.28515625" style="390"/>
  </cols>
  <sheetData>
    <row r="1" spans="1:11" ht="16.5" thickBot="1" x14ac:dyDescent="0.3">
      <c r="A1" s="414" t="s">
        <v>296</v>
      </c>
      <c r="B1" s="414"/>
    </row>
    <row r="2" spans="1:11" ht="21.75" customHeight="1" x14ac:dyDescent="0.25">
      <c r="C2" s="3479" t="s">
        <v>1715</v>
      </c>
      <c r="D2" s="3480"/>
      <c r="E2" s="3480"/>
      <c r="F2" s="3480"/>
      <c r="G2" s="3480"/>
      <c r="H2" s="3481"/>
      <c r="I2" s="242"/>
      <c r="J2" s="242"/>
      <c r="K2" s="242"/>
    </row>
    <row r="3" spans="1:11" ht="18.75" x14ac:dyDescent="0.25">
      <c r="C3" s="3641" t="s">
        <v>1716</v>
      </c>
      <c r="D3" s="3642"/>
      <c r="E3" s="3642"/>
      <c r="F3" s="3642"/>
      <c r="G3" s="3642"/>
      <c r="H3" s="3643"/>
      <c r="I3" s="479"/>
      <c r="J3" s="479"/>
      <c r="K3" s="479"/>
    </row>
    <row r="4" spans="1:11" ht="18.75" x14ac:dyDescent="0.25">
      <c r="C4" s="1107" t="s">
        <v>1717</v>
      </c>
      <c r="D4" s="1629" t="s">
        <v>1544</v>
      </c>
      <c r="E4" s="1629" t="s">
        <v>1694</v>
      </c>
      <c r="F4" s="1629" t="s">
        <v>2335</v>
      </c>
      <c r="G4" s="1102" t="s">
        <v>2551</v>
      </c>
      <c r="H4" s="1102" t="s">
        <v>2553</v>
      </c>
      <c r="I4" s="478"/>
      <c r="J4" s="478"/>
      <c r="K4" s="478"/>
    </row>
    <row r="5" spans="1:11" ht="18.75" x14ac:dyDescent="0.25">
      <c r="C5" s="535" t="s">
        <v>1581</v>
      </c>
      <c r="D5" s="1675">
        <v>2.86442</v>
      </c>
      <c r="E5" s="1675">
        <v>2.87723</v>
      </c>
      <c r="F5" s="1675">
        <v>3</v>
      </c>
      <c r="G5" s="1678">
        <v>3.06663</v>
      </c>
      <c r="H5" s="1678">
        <v>3.0802</v>
      </c>
    </row>
    <row r="6" spans="1:11" ht="18.75" x14ac:dyDescent="0.25">
      <c r="C6" s="535" t="s">
        <v>1556</v>
      </c>
      <c r="D6" s="1675">
        <v>51.535679999999999</v>
      </c>
      <c r="E6" s="1675">
        <v>53.341589999999997</v>
      </c>
      <c r="F6" s="1675">
        <v>55.9</v>
      </c>
      <c r="G6" s="1678">
        <v>56.898119999999999</v>
      </c>
      <c r="H6" s="1678">
        <v>56.402970000000003</v>
      </c>
    </row>
    <row r="7" spans="1:11" ht="18.75" x14ac:dyDescent="0.25">
      <c r="C7" s="535" t="s">
        <v>1559</v>
      </c>
      <c r="D7" s="1675">
        <v>74.752769999999998</v>
      </c>
      <c r="E7" s="1675">
        <v>76.116780000000006</v>
      </c>
      <c r="F7" s="1675">
        <v>80.7</v>
      </c>
      <c r="G7" s="1678">
        <v>82.600449999999995</v>
      </c>
      <c r="H7" s="1678">
        <v>84.025030000000001</v>
      </c>
    </row>
    <row r="8" spans="1:11" ht="18.75" x14ac:dyDescent="0.25">
      <c r="C8" s="535" t="s">
        <v>1560</v>
      </c>
      <c r="D8" s="1675">
        <v>21.146899999999999</v>
      </c>
      <c r="E8" s="1675">
        <v>21.47429</v>
      </c>
      <c r="F8" s="1675">
        <v>21.9</v>
      </c>
      <c r="G8" s="1678">
        <v>22.435949999999998</v>
      </c>
      <c r="H8" s="1678">
        <v>22.539709999999999</v>
      </c>
    </row>
    <row r="9" spans="1:11" ht="18.75" x14ac:dyDescent="0.25">
      <c r="C9" s="535" t="s">
        <v>1487</v>
      </c>
      <c r="D9" s="3644">
        <v>35.681669999999997</v>
      </c>
      <c r="E9" s="1675">
        <v>34.597990000000003</v>
      </c>
      <c r="F9" s="1675">
        <v>35</v>
      </c>
      <c r="G9" s="1678">
        <v>35.421300000000002</v>
      </c>
      <c r="H9" s="1678">
        <v>35.643569999999997</v>
      </c>
    </row>
    <row r="10" spans="1:11" ht="18.75" x14ac:dyDescent="0.25">
      <c r="C10" s="535" t="s">
        <v>1583</v>
      </c>
      <c r="D10" s="3645"/>
      <c r="E10" s="1675">
        <v>0.94660999999999995</v>
      </c>
      <c r="F10" s="1675">
        <v>1</v>
      </c>
      <c r="G10" s="1678">
        <v>1.00474</v>
      </c>
      <c r="H10" s="1678">
        <v>1.0389900000000001</v>
      </c>
    </row>
    <row r="11" spans="1:11" ht="18.75" x14ac:dyDescent="0.25">
      <c r="C11" s="535" t="s">
        <v>1571</v>
      </c>
      <c r="D11" s="1675">
        <v>91.608909999999995</v>
      </c>
      <c r="E11" s="1675">
        <v>93.397040000000004</v>
      </c>
      <c r="F11" s="1675">
        <v>95.2</v>
      </c>
      <c r="G11" s="1678">
        <v>96.34554</v>
      </c>
      <c r="H11" s="1678">
        <v>96.640199999999993</v>
      </c>
    </row>
    <row r="12" spans="1:11" ht="18.75" x14ac:dyDescent="0.25">
      <c r="C12" s="535" t="s">
        <v>1572</v>
      </c>
      <c r="D12" s="1675">
        <v>171.73885000000001</v>
      </c>
      <c r="E12" s="1675">
        <v>175.74787000000001</v>
      </c>
      <c r="F12" s="1675">
        <v>181.7</v>
      </c>
      <c r="G12" s="1678">
        <v>183.81359</v>
      </c>
      <c r="H12" s="1678">
        <v>185.55217999999999</v>
      </c>
    </row>
    <row r="13" spans="1:11" ht="18.75" x14ac:dyDescent="0.25">
      <c r="C13" s="535" t="s">
        <v>1577</v>
      </c>
      <c r="D13" s="1675">
        <v>452.32098999999999</v>
      </c>
      <c r="E13" s="1675">
        <v>463.44627000000003</v>
      </c>
      <c r="F13" s="1675">
        <v>476.7</v>
      </c>
      <c r="G13" s="1678">
        <v>483.43194999999997</v>
      </c>
      <c r="H13" s="1678">
        <v>490.35496999999998</v>
      </c>
    </row>
    <row r="14" spans="1:11" ht="18.75" x14ac:dyDescent="0.25">
      <c r="C14" s="535" t="s">
        <v>1578</v>
      </c>
      <c r="D14" s="1675">
        <v>29.16891</v>
      </c>
      <c r="E14" s="1675">
        <v>30.254930000000002</v>
      </c>
      <c r="F14" s="1675">
        <v>31.3</v>
      </c>
      <c r="G14" s="1678">
        <v>32.270330000000001</v>
      </c>
      <c r="H14" s="1678">
        <v>32.343440000000001</v>
      </c>
    </row>
    <row r="15" spans="1:11" ht="27" customHeight="1" x14ac:dyDescent="0.25">
      <c r="B15" s="1454"/>
      <c r="C15" s="1109" t="s">
        <v>1489</v>
      </c>
      <c r="D15" s="1676">
        <v>930.81910000000005</v>
      </c>
      <c r="E15" s="1676">
        <v>952.20060000000012</v>
      </c>
      <c r="F15" s="1676">
        <v>982.39999999999986</v>
      </c>
      <c r="G15" s="1679">
        <v>997.28860000000009</v>
      </c>
      <c r="H15" s="1679">
        <v>1007.62126</v>
      </c>
    </row>
    <row r="16" spans="1:11" ht="18.75" x14ac:dyDescent="0.25">
      <c r="C16" s="535" t="s">
        <v>1553</v>
      </c>
      <c r="D16" s="1675">
        <v>2.9819599999999999</v>
      </c>
      <c r="E16" s="1675">
        <v>3.0770300000000002</v>
      </c>
      <c r="F16" s="1675">
        <v>3.2</v>
      </c>
      <c r="G16" s="1678">
        <v>3.3324400000000001</v>
      </c>
      <c r="H16" s="1678">
        <v>3.4155799999999998</v>
      </c>
    </row>
    <row r="17" spans="3:8" ht="18.75" x14ac:dyDescent="0.25">
      <c r="C17" s="535" t="s">
        <v>1554</v>
      </c>
      <c r="D17" s="1675">
        <v>79.325500000000005</v>
      </c>
      <c r="E17" s="1675">
        <v>83.858069999999998</v>
      </c>
      <c r="F17" s="1675">
        <v>90.4</v>
      </c>
      <c r="G17" s="1678">
        <v>91.785020000000003</v>
      </c>
      <c r="H17" s="1678">
        <v>93.727969999999999</v>
      </c>
    </row>
    <row r="18" spans="3:8" ht="18.75" x14ac:dyDescent="0.25">
      <c r="C18" s="535" t="s">
        <v>1566</v>
      </c>
      <c r="D18" s="1675">
        <v>6.2406800000000002</v>
      </c>
      <c r="E18" s="1675">
        <v>6.56806</v>
      </c>
      <c r="F18" s="1675">
        <v>6.8</v>
      </c>
      <c r="G18" s="1678">
        <v>7.0531499999999996</v>
      </c>
      <c r="H18" s="1678">
        <v>7.1468800000000003</v>
      </c>
    </row>
    <row r="19" spans="3:8" ht="18.75" x14ac:dyDescent="0.25">
      <c r="C19" s="535" t="s">
        <v>1567</v>
      </c>
      <c r="D19" s="1675">
        <v>3.6090399999999998</v>
      </c>
      <c r="E19" s="1675">
        <v>4.0964799999999997</v>
      </c>
      <c r="F19" s="1675">
        <v>4.8</v>
      </c>
      <c r="G19" s="1678">
        <v>5.2290299999999998</v>
      </c>
      <c r="H19" s="1678">
        <v>5.3055899999999996</v>
      </c>
    </row>
    <row r="20" spans="3:8" ht="18.75" x14ac:dyDescent="0.25">
      <c r="C20" s="535" t="s">
        <v>1568</v>
      </c>
      <c r="D20" s="1675">
        <v>3.3060100000000001</v>
      </c>
      <c r="E20" s="1675">
        <v>3.4218099999999998</v>
      </c>
      <c r="F20" s="1675">
        <v>3.6</v>
      </c>
      <c r="G20" s="1678">
        <v>3.6581000000000001</v>
      </c>
      <c r="H20" s="1678">
        <v>3.6728700000000001</v>
      </c>
    </row>
    <row r="21" spans="3:8" ht="18.75" x14ac:dyDescent="0.25">
      <c r="C21" s="535" t="s">
        <v>1569</v>
      </c>
      <c r="D21" s="1675">
        <v>3.1083799999999999</v>
      </c>
      <c r="E21" s="1675">
        <v>3.3361800000000001</v>
      </c>
      <c r="F21" s="1675">
        <v>3.7</v>
      </c>
      <c r="G21" s="1678">
        <v>3.8637000000000001</v>
      </c>
      <c r="H21" s="1678">
        <v>3.9718599999999999</v>
      </c>
    </row>
    <row r="22" spans="3:8" ht="18.75" x14ac:dyDescent="0.25">
      <c r="C22" s="535" t="s">
        <v>1573</v>
      </c>
      <c r="D22" s="1675">
        <v>1.6732100000000001</v>
      </c>
      <c r="E22" s="1675">
        <v>1.6958</v>
      </c>
      <c r="F22" s="1675">
        <v>1.8</v>
      </c>
      <c r="G22" s="1678">
        <v>1.8906799999999999</v>
      </c>
      <c r="H22" s="1678">
        <v>1.9316599999999999</v>
      </c>
    </row>
    <row r="23" spans="3:8" ht="18.75" x14ac:dyDescent="0.25">
      <c r="C23" s="535" t="s">
        <v>1576</v>
      </c>
      <c r="D23" s="1675">
        <v>7.6963800000000004</v>
      </c>
      <c r="E23" s="1675">
        <v>7.8895099999999996</v>
      </c>
      <c r="F23" s="1675">
        <v>8.3000000000000007</v>
      </c>
      <c r="G23" s="1678">
        <v>8.46068</v>
      </c>
      <c r="H23" s="1678">
        <v>8.6945800000000002</v>
      </c>
    </row>
    <row r="24" spans="3:8" ht="19.5" customHeight="1" x14ac:dyDescent="0.25">
      <c r="C24" s="1109" t="s">
        <v>1497</v>
      </c>
      <c r="D24" s="1676">
        <v>107.94116</v>
      </c>
      <c r="E24" s="1676">
        <v>113.94293999999999</v>
      </c>
      <c r="F24" s="1676">
        <v>122.6</v>
      </c>
      <c r="G24" s="1679">
        <v>125.27280000000002</v>
      </c>
      <c r="H24" s="1679">
        <v>127.86699</v>
      </c>
    </row>
    <row r="25" spans="3:8" ht="18.75" x14ac:dyDescent="0.25">
      <c r="C25" s="1105" t="s">
        <v>1718</v>
      </c>
      <c r="D25" s="1677">
        <v>1.2000500000000001</v>
      </c>
      <c r="E25" s="1677">
        <v>1.22756</v>
      </c>
      <c r="F25" s="1677">
        <v>1.3</v>
      </c>
      <c r="G25" s="1678">
        <v>1.29192</v>
      </c>
      <c r="H25" s="1678">
        <v>1.30582</v>
      </c>
    </row>
    <row r="26" spans="3:8" ht="18.75" x14ac:dyDescent="0.25">
      <c r="C26" s="535" t="s">
        <v>1555</v>
      </c>
      <c r="D26" s="1675">
        <v>206.89618999999999</v>
      </c>
      <c r="E26" s="1675">
        <v>215.16623000000001</v>
      </c>
      <c r="F26" s="1675">
        <v>225.4</v>
      </c>
      <c r="G26" s="1678">
        <v>229.37885</v>
      </c>
      <c r="H26" s="1678">
        <v>235.87606</v>
      </c>
    </row>
    <row r="27" spans="3:8" ht="18.75" x14ac:dyDescent="0.25">
      <c r="C27" s="535" t="s">
        <v>1561</v>
      </c>
      <c r="D27" s="1675">
        <v>60.705060000000003</v>
      </c>
      <c r="E27" s="1675">
        <v>62.764699999999998</v>
      </c>
      <c r="F27" s="1675">
        <v>65.5</v>
      </c>
      <c r="G27" s="1678">
        <v>66.234669999999994</v>
      </c>
      <c r="H27" s="1678">
        <v>67.617980000000003</v>
      </c>
    </row>
    <row r="28" spans="3:8" ht="18.75" x14ac:dyDescent="0.25">
      <c r="C28" s="535" t="s">
        <v>1570</v>
      </c>
      <c r="D28" s="1675">
        <v>94.69153</v>
      </c>
      <c r="E28" s="1675">
        <v>96.957899999999995</v>
      </c>
      <c r="F28" s="1675">
        <v>99.6</v>
      </c>
      <c r="G28" s="1678">
        <v>100.56142</v>
      </c>
      <c r="H28" s="1678">
        <v>102.15353</v>
      </c>
    </row>
    <row r="29" spans="3:8" ht="18.75" x14ac:dyDescent="0.25">
      <c r="C29" s="535" t="s">
        <v>1579</v>
      </c>
      <c r="D29" s="1675">
        <v>252.14924999999999</v>
      </c>
      <c r="E29" s="1675">
        <v>267.79527000000002</v>
      </c>
      <c r="F29" s="1675">
        <v>268.5</v>
      </c>
      <c r="G29" s="1678">
        <v>271.28190000000001</v>
      </c>
      <c r="H29" s="1678">
        <v>272.43095</v>
      </c>
    </row>
    <row r="30" spans="3:8" ht="18.75" x14ac:dyDescent="0.25">
      <c r="C30" s="1109" t="s">
        <v>1491</v>
      </c>
      <c r="D30" s="1676">
        <v>615.64207999999996</v>
      </c>
      <c r="E30" s="1676">
        <v>643.91165999999998</v>
      </c>
      <c r="F30" s="1676">
        <v>660.30000000000007</v>
      </c>
      <c r="G30" s="1679">
        <v>668.74875999999995</v>
      </c>
      <c r="H30" s="1679">
        <v>679.38434000000007</v>
      </c>
    </row>
    <row r="31" spans="3:8" ht="19.5" customHeight="1" x14ac:dyDescent="0.25">
      <c r="C31" s="535" t="s">
        <v>1719</v>
      </c>
      <c r="D31" s="1675">
        <v>57.311430000000001</v>
      </c>
      <c r="E31" s="1675">
        <v>59.012799999999999</v>
      </c>
      <c r="F31" s="1675">
        <v>62.1</v>
      </c>
      <c r="G31" s="1678">
        <v>63.278710000000004</v>
      </c>
      <c r="H31" s="1678">
        <v>65.18365</v>
      </c>
    </row>
    <row r="32" spans="3:8" ht="18.75" x14ac:dyDescent="0.25">
      <c r="C32" s="1105" t="s">
        <v>1720</v>
      </c>
      <c r="D32" s="1677">
        <v>1.64889</v>
      </c>
      <c r="E32" s="1677">
        <v>1.6693499999999999</v>
      </c>
      <c r="F32" s="1677">
        <v>1.7</v>
      </c>
      <c r="G32" s="1678">
        <v>1.71994</v>
      </c>
      <c r="H32" s="1678">
        <v>1.7512099999999999</v>
      </c>
    </row>
    <row r="33" spans="3:18" ht="18.75" x14ac:dyDescent="0.25">
      <c r="C33" s="535" t="s">
        <v>1557</v>
      </c>
      <c r="D33" s="1675">
        <v>5.3773299999999997</v>
      </c>
      <c r="E33" s="1675">
        <v>5.4785700000000004</v>
      </c>
      <c r="F33" s="1675">
        <v>5.6</v>
      </c>
      <c r="G33" s="1678">
        <v>5.8011799999999996</v>
      </c>
      <c r="H33" s="1678">
        <v>5.8765700000000001</v>
      </c>
    </row>
    <row r="34" spans="3:18" ht="18.75" x14ac:dyDescent="0.25">
      <c r="C34" s="535" t="s">
        <v>1558</v>
      </c>
      <c r="D34" s="1675">
        <v>115.84089</v>
      </c>
      <c r="E34" s="1675">
        <v>120.57143000000001</v>
      </c>
      <c r="F34" s="1675">
        <v>125.8</v>
      </c>
      <c r="G34" s="1678">
        <v>127.77763999999999</v>
      </c>
      <c r="H34" s="1678">
        <v>128.49035000000001</v>
      </c>
      <c r="R34" s="390" t="s">
        <v>1721</v>
      </c>
    </row>
    <row r="35" spans="3:18" ht="18.75" x14ac:dyDescent="0.25">
      <c r="C35" s="535" t="s">
        <v>1564</v>
      </c>
      <c r="D35" s="1675">
        <v>163.16422</v>
      </c>
      <c r="E35" s="1675">
        <v>166.59985</v>
      </c>
      <c r="F35" s="1675">
        <v>173</v>
      </c>
      <c r="G35" s="1678">
        <v>175.03763000000001</v>
      </c>
      <c r="H35" s="1678">
        <v>177.44434000000001</v>
      </c>
    </row>
    <row r="36" spans="3:18" ht="18.75" x14ac:dyDescent="0.25">
      <c r="C36" s="535" t="s">
        <v>1565</v>
      </c>
      <c r="D36" s="1675">
        <v>298.54482000000002</v>
      </c>
      <c r="E36" s="1675">
        <v>303.86660999999998</v>
      </c>
      <c r="F36" s="1675">
        <v>310.8</v>
      </c>
      <c r="G36" s="1678">
        <v>317.11919999999998</v>
      </c>
      <c r="H36" s="1678">
        <v>320.12830000000002</v>
      </c>
    </row>
    <row r="37" spans="3:18" ht="18.75" x14ac:dyDescent="0.25">
      <c r="C37" s="1109" t="s">
        <v>1499</v>
      </c>
      <c r="D37" s="1676">
        <v>641.88757999999996</v>
      </c>
      <c r="E37" s="1676">
        <v>657.19860999999992</v>
      </c>
      <c r="F37" s="1676">
        <v>679</v>
      </c>
      <c r="G37" s="1679">
        <v>690.73429999999996</v>
      </c>
      <c r="H37" s="1679">
        <v>698.8744200000001</v>
      </c>
    </row>
    <row r="38" spans="3:18" ht="18.75" x14ac:dyDescent="0.25">
      <c r="C38" s="535" t="s">
        <v>1552</v>
      </c>
      <c r="D38" s="1675">
        <v>147.10846000000001</v>
      </c>
      <c r="E38" s="1675">
        <v>149.20573999999999</v>
      </c>
      <c r="F38" s="1675">
        <v>155.19999999999999</v>
      </c>
      <c r="G38" s="1678">
        <v>159.52103</v>
      </c>
      <c r="H38" s="1678">
        <v>161.59703999999999</v>
      </c>
    </row>
    <row r="39" spans="3:18" ht="18.75" x14ac:dyDescent="0.25">
      <c r="C39" s="535" t="s">
        <v>1562</v>
      </c>
      <c r="D39" s="1675">
        <v>173.35892999999999</v>
      </c>
      <c r="E39" s="1675">
        <v>178.55747</v>
      </c>
      <c r="F39" s="1675">
        <v>184.7</v>
      </c>
      <c r="G39" s="1678">
        <v>188.54621</v>
      </c>
      <c r="H39" s="1678">
        <v>191.13405</v>
      </c>
    </row>
    <row r="40" spans="3:18" ht="18.75" x14ac:dyDescent="0.25">
      <c r="C40" s="535" t="s">
        <v>1563</v>
      </c>
      <c r="D40" s="1675">
        <v>93.405720000000002</v>
      </c>
      <c r="E40" s="1675">
        <v>95.044939999999997</v>
      </c>
      <c r="F40" s="1675">
        <v>96.6</v>
      </c>
      <c r="G40" s="1678">
        <v>98.129040000000003</v>
      </c>
      <c r="H40" s="1678">
        <v>98.461309999999997</v>
      </c>
    </row>
    <row r="41" spans="3:18" ht="18.75" x14ac:dyDescent="0.25">
      <c r="C41" s="535" t="s">
        <v>1584</v>
      </c>
      <c r="D41" s="1675">
        <v>0.1061</v>
      </c>
      <c r="E41" s="1675">
        <v>0.10927000000000001</v>
      </c>
      <c r="F41" s="1675">
        <v>0.1</v>
      </c>
      <c r="G41" s="1678">
        <v>0.14022999999999999</v>
      </c>
      <c r="H41" s="1678">
        <v>0.14183999999999999</v>
      </c>
    </row>
    <row r="42" spans="3:18" ht="18.75" x14ac:dyDescent="0.25">
      <c r="C42" s="535" t="s">
        <v>1585</v>
      </c>
      <c r="D42" s="1675">
        <v>3.8829099999999999</v>
      </c>
      <c r="E42" s="1675">
        <v>3.9389799999999999</v>
      </c>
      <c r="F42" s="1675">
        <v>4</v>
      </c>
      <c r="G42" s="1678">
        <v>4.1182999999999996</v>
      </c>
      <c r="H42" s="1678">
        <v>4.1905999999999999</v>
      </c>
    </row>
    <row r="43" spans="3:18" ht="18.75" x14ac:dyDescent="0.25">
      <c r="C43" s="535" t="s">
        <v>1722</v>
      </c>
      <c r="D43" s="1675">
        <v>221.774</v>
      </c>
      <c r="E43" s="1675">
        <v>226.0847</v>
      </c>
      <c r="F43" s="1675">
        <v>233.3</v>
      </c>
      <c r="G43" s="1678">
        <v>237.56601000000001</v>
      </c>
      <c r="H43" s="1678">
        <v>240.67862</v>
      </c>
    </row>
    <row r="44" spans="3:18" ht="18.75" x14ac:dyDescent="0.25">
      <c r="C44" s="535" t="s">
        <v>1575</v>
      </c>
      <c r="D44" s="1675">
        <v>117.31495</v>
      </c>
      <c r="E44" s="1675">
        <v>120.13290000000001</v>
      </c>
      <c r="F44" s="1675">
        <v>124</v>
      </c>
      <c r="G44" s="1678">
        <v>126.91569</v>
      </c>
      <c r="H44" s="1678">
        <v>129.26363000000001</v>
      </c>
    </row>
    <row r="45" spans="3:18" ht="18.75" x14ac:dyDescent="0.25">
      <c r="C45" s="1109" t="s">
        <v>1501</v>
      </c>
      <c r="D45" s="1676">
        <v>756.95106999999996</v>
      </c>
      <c r="E45" s="1676">
        <v>773.07400000000007</v>
      </c>
      <c r="F45" s="1676">
        <v>797.90000000000009</v>
      </c>
      <c r="G45" s="1679">
        <v>814.93651</v>
      </c>
      <c r="H45" s="1679">
        <v>825.4670900000001</v>
      </c>
    </row>
    <row r="46" spans="3:18" ht="18.75" x14ac:dyDescent="0.25">
      <c r="C46" s="1107" t="s">
        <v>1723</v>
      </c>
      <c r="D46" s="1629">
        <v>3053.2409899999998</v>
      </c>
      <c r="E46" s="1629">
        <v>3140.3278099999998</v>
      </c>
      <c r="F46" s="1629">
        <v>3242.2</v>
      </c>
      <c r="G46" s="1679">
        <v>3296.9809699999996</v>
      </c>
      <c r="H46" s="1679">
        <v>3339.2141000000001</v>
      </c>
    </row>
    <row r="47" spans="3:18" ht="14.1" customHeight="1" x14ac:dyDescent="0.25">
      <c r="C47" s="1106" t="s">
        <v>2430</v>
      </c>
      <c r="D47" s="881"/>
      <c r="E47" s="881"/>
      <c r="F47" s="881"/>
      <c r="G47" s="985"/>
      <c r="H47" s="986"/>
      <c r="I47" s="302"/>
    </row>
    <row r="48" spans="3:18" ht="18.75" x14ac:dyDescent="0.3">
      <c r="C48" s="987"/>
      <c r="D48" s="988"/>
      <c r="E48" s="988"/>
      <c r="F48" s="988"/>
      <c r="G48" s="988"/>
      <c r="H48" s="989"/>
    </row>
    <row r="49" spans="3:12" ht="18.75" x14ac:dyDescent="0.3">
      <c r="C49" s="600"/>
      <c r="D49" s="592"/>
      <c r="E49" s="592"/>
      <c r="F49" s="592"/>
      <c r="G49" s="592"/>
      <c r="H49" s="664"/>
      <c r="J49" s="480" t="s">
        <v>1732</v>
      </c>
      <c r="K49" s="480" t="str">
        <f>G4</f>
        <v>01.4.2025</v>
      </c>
      <c r="L49" s="480" t="str">
        <f>H4</f>
        <v>01.4.2026</v>
      </c>
    </row>
    <row r="50" spans="3:12" ht="18.75" x14ac:dyDescent="0.3">
      <c r="C50" s="600"/>
      <c r="D50" s="592"/>
      <c r="E50" s="592"/>
      <c r="F50" s="592"/>
      <c r="G50" s="592"/>
      <c r="H50" s="664"/>
      <c r="J50" s="20" t="s">
        <v>1733</v>
      </c>
      <c r="K50" s="947">
        <f>G15</f>
        <v>997.28860000000009</v>
      </c>
      <c r="L50" s="947">
        <f>H15</f>
        <v>1007.62126</v>
      </c>
    </row>
    <row r="51" spans="3:12" ht="41.25" customHeight="1" x14ac:dyDescent="0.3">
      <c r="C51" s="600"/>
      <c r="D51" s="592"/>
      <c r="E51" s="592"/>
      <c r="F51" s="592"/>
      <c r="G51" s="592"/>
      <c r="H51" s="664"/>
      <c r="J51" s="20" t="s">
        <v>1734</v>
      </c>
      <c r="K51" s="947">
        <f>G24</f>
        <v>125.27280000000002</v>
      </c>
      <c r="L51" s="947">
        <f>H24</f>
        <v>127.86699</v>
      </c>
    </row>
    <row r="52" spans="3:12" ht="18.75" x14ac:dyDescent="0.3">
      <c r="C52" s="600"/>
      <c r="D52" s="592"/>
      <c r="E52" s="592"/>
      <c r="F52" s="592"/>
      <c r="G52" s="592"/>
      <c r="H52" s="664"/>
      <c r="J52" s="20" t="s">
        <v>1735</v>
      </c>
      <c r="K52" s="947">
        <f>G30</f>
        <v>668.74875999999995</v>
      </c>
      <c r="L52" s="947">
        <f>H30</f>
        <v>679.38434000000007</v>
      </c>
    </row>
    <row r="53" spans="3:12" ht="18.75" x14ac:dyDescent="0.3">
      <c r="C53" s="600"/>
      <c r="D53" s="592"/>
      <c r="E53" s="592"/>
      <c r="F53" s="592"/>
      <c r="G53" s="592"/>
      <c r="H53" s="664"/>
      <c r="J53" s="20" t="s">
        <v>1736</v>
      </c>
      <c r="K53" s="947">
        <f>G37</f>
        <v>690.73429999999996</v>
      </c>
      <c r="L53" s="947">
        <f>H37</f>
        <v>698.8744200000001</v>
      </c>
    </row>
    <row r="54" spans="3:12" ht="18.75" x14ac:dyDescent="0.3">
      <c r="C54" s="600"/>
      <c r="D54" s="592"/>
      <c r="E54" s="592"/>
      <c r="F54" s="592"/>
      <c r="G54" s="592"/>
      <c r="H54" s="664"/>
      <c r="J54" s="20" t="s">
        <v>1737</v>
      </c>
      <c r="K54" s="947">
        <f>G45</f>
        <v>814.93651</v>
      </c>
      <c r="L54" s="947">
        <f>H45</f>
        <v>825.4670900000001</v>
      </c>
    </row>
    <row r="55" spans="3:12" ht="42" customHeight="1" x14ac:dyDescent="0.3">
      <c r="C55" s="600"/>
      <c r="D55" s="592"/>
      <c r="E55" s="592"/>
      <c r="F55" s="592"/>
      <c r="G55" s="592"/>
      <c r="H55" s="664"/>
      <c r="J55" s="394" t="str">
        <f>C46</f>
        <v>ALL INDIA</v>
      </c>
      <c r="K55" s="947">
        <f>G46</f>
        <v>3296.9809699999996</v>
      </c>
      <c r="L55" s="947">
        <f>H46</f>
        <v>3339.2141000000001</v>
      </c>
    </row>
    <row r="56" spans="3:12" ht="18.75" x14ac:dyDescent="0.3">
      <c r="C56" s="600"/>
      <c r="D56" s="592"/>
      <c r="E56" s="592"/>
      <c r="F56" s="592"/>
      <c r="G56" s="592"/>
      <c r="H56" s="664"/>
    </row>
    <row r="57" spans="3:12" ht="18.75" x14ac:dyDescent="0.3">
      <c r="C57" s="600"/>
      <c r="D57" s="592"/>
      <c r="E57" s="592"/>
      <c r="F57" s="592"/>
      <c r="G57" s="592"/>
      <c r="H57" s="664"/>
    </row>
    <row r="58" spans="3:12" ht="33.75" customHeight="1" x14ac:dyDescent="0.3">
      <c r="C58" s="600"/>
      <c r="D58" s="592"/>
      <c r="E58" s="592"/>
      <c r="F58" s="592"/>
      <c r="G58" s="592"/>
      <c r="H58" s="664"/>
    </row>
    <row r="59" spans="3:12" ht="27" customHeight="1" thickBot="1" x14ac:dyDescent="0.35">
      <c r="C59" s="628"/>
      <c r="D59" s="633"/>
      <c r="E59" s="633"/>
      <c r="F59" s="633"/>
      <c r="G59" s="633"/>
      <c r="H59" s="665"/>
    </row>
    <row r="64" spans="3:12" ht="1.5" customHeight="1" x14ac:dyDescent="0.25">
      <c r="L64" s="477"/>
    </row>
  </sheetData>
  <mergeCells count="3">
    <mergeCell ref="C2:H2"/>
    <mergeCell ref="C3:H3"/>
    <mergeCell ref="D9:D10"/>
  </mergeCells>
  <hyperlinks>
    <hyperlink ref="A1" location="CONTENTS!A1" display="Home" xr:uid="{19A80BDF-3E3B-4D36-ACF4-EC267B551F16}"/>
  </hyperlinks>
  <pageMargins left="0.70866141732283472" right="0.70866141732283472" top="0.74803149606299213" bottom="0.74803149606299213" header="0.31496062992125984" footer="0.31496062992125984"/>
  <pageSetup paperSize="9" scale="47" orientation="portrait" horizontalDpi="300" verticalDpi="300" r:id="rId1"/>
  <drawing r:id="rId2"/>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A80EF0-9D07-40C4-AF9B-CDBDA0EC7A91}">
  <sheetPr>
    <tabColor theme="0"/>
    <pageSetUpPr fitToPage="1"/>
  </sheetPr>
  <dimension ref="A1:K74"/>
  <sheetViews>
    <sheetView showGridLines="0" view="pageLayout" topLeftCell="B17" zoomScale="60" zoomScaleNormal="55" zoomScalePageLayoutView="60" workbookViewId="0">
      <selection activeCell="B81" sqref="B81"/>
    </sheetView>
  </sheetViews>
  <sheetFormatPr defaultColWidth="55.5703125" defaultRowHeight="16.5" x14ac:dyDescent="0.25"/>
  <cols>
    <col min="1" max="1" width="3.42578125" style="390" hidden="1" customWidth="1"/>
    <col min="2" max="2" width="53.42578125" style="390" customWidth="1"/>
    <col min="3" max="4" width="21.140625" style="390" customWidth="1"/>
    <col min="5" max="5" width="22" style="390" customWidth="1"/>
    <col min="6" max="6" width="22" style="477" customWidth="1"/>
    <col min="7" max="7" width="22.7109375" style="390" customWidth="1"/>
    <col min="8" max="8" width="20.28515625" style="237" customWidth="1"/>
    <col min="9" max="9" width="19.85546875" style="390" customWidth="1"/>
    <col min="10" max="10" width="18.5703125" style="390" customWidth="1"/>
    <col min="11" max="11" width="15.28515625" style="390" customWidth="1"/>
    <col min="12" max="16384" width="55.5703125" style="390"/>
  </cols>
  <sheetData>
    <row r="1" spans="1:7" ht="21.75" customHeight="1" x14ac:dyDescent="0.25">
      <c r="B1" s="3646" t="s">
        <v>1724</v>
      </c>
      <c r="C1" s="3647"/>
      <c r="D1" s="3647"/>
      <c r="E1" s="3647"/>
      <c r="F1" s="3648"/>
      <c r="G1" s="3649"/>
    </row>
    <row r="2" spans="1:7" ht="15" customHeight="1" x14ac:dyDescent="0.25">
      <c r="B2" s="3650" t="s">
        <v>1716</v>
      </c>
      <c r="C2" s="3651"/>
      <c r="D2" s="3651"/>
      <c r="E2" s="3651"/>
      <c r="F2" s="3652"/>
      <c r="G2" s="3653"/>
    </row>
    <row r="3" spans="1:7" ht="20.25" x14ac:dyDescent="0.25">
      <c r="A3" s="390" t="s">
        <v>1725</v>
      </c>
      <c r="B3" s="1108" t="s">
        <v>1477</v>
      </c>
      <c r="C3" s="1629" t="s">
        <v>1544</v>
      </c>
      <c r="D3" s="1629" t="s">
        <v>1694</v>
      </c>
      <c r="E3" s="1629" t="s">
        <v>2335</v>
      </c>
      <c r="F3" s="1102" t="s">
        <v>2551</v>
      </c>
      <c r="G3" s="1102" t="s">
        <v>2553</v>
      </c>
    </row>
    <row r="4" spans="1:7" ht="21" x14ac:dyDescent="0.35">
      <c r="A4" s="390">
        <v>1</v>
      </c>
      <c r="B4" s="1680" t="s">
        <v>1484</v>
      </c>
      <c r="C4" s="1695">
        <v>9.2000000000000003E-4</v>
      </c>
      <c r="D4" s="1695">
        <v>6.5900000000000004E-3</v>
      </c>
      <c r="E4" s="1695">
        <v>0.02</v>
      </c>
      <c r="F4" s="1681">
        <v>2.0279999999999999E-2</v>
      </c>
      <c r="G4" s="1682">
        <v>2.0369999999999999E-2</v>
      </c>
    </row>
    <row r="5" spans="1:7" ht="21" x14ac:dyDescent="0.35">
      <c r="A5" s="390">
        <v>2</v>
      </c>
      <c r="B5" s="1680" t="s">
        <v>1485</v>
      </c>
      <c r="C5" s="1695">
        <v>0.98755999999999999</v>
      </c>
      <c r="D5" s="1695">
        <v>1.42164</v>
      </c>
      <c r="E5" s="1695">
        <v>2.6</v>
      </c>
      <c r="F5" s="1681">
        <v>2.59579</v>
      </c>
      <c r="G5" s="1682">
        <v>2.8931200000000001</v>
      </c>
    </row>
    <row r="6" spans="1:7" ht="21" x14ac:dyDescent="0.35">
      <c r="A6" s="390">
        <v>3</v>
      </c>
      <c r="B6" s="1680" t="s">
        <v>507</v>
      </c>
      <c r="C6" s="1695">
        <v>7.3898000000000001</v>
      </c>
      <c r="D6" s="1695">
        <v>7.6732199999999997</v>
      </c>
      <c r="E6" s="1695">
        <v>11.1</v>
      </c>
      <c r="F6" s="1681">
        <v>11.15081</v>
      </c>
      <c r="G6" s="1682">
        <v>12.10694</v>
      </c>
    </row>
    <row r="7" spans="1:7" ht="21" x14ac:dyDescent="0.35">
      <c r="A7" s="390">
        <v>4</v>
      </c>
      <c r="B7" s="1680" t="s">
        <v>538</v>
      </c>
      <c r="C7" s="1695">
        <v>1.3838200000000001</v>
      </c>
      <c r="D7" s="1695">
        <v>1.40822</v>
      </c>
      <c r="E7" s="1695">
        <v>1.5</v>
      </c>
      <c r="F7" s="1681">
        <v>1.50692</v>
      </c>
      <c r="G7" s="1682">
        <v>1.52356</v>
      </c>
    </row>
    <row r="8" spans="1:7" ht="21" x14ac:dyDescent="0.25">
      <c r="A8" s="390">
        <v>5</v>
      </c>
      <c r="B8" s="1680" t="s">
        <v>1521</v>
      </c>
      <c r="C8" s="1695">
        <v>12.499459999999999</v>
      </c>
      <c r="D8" s="1695">
        <v>12.45438</v>
      </c>
      <c r="E8" s="1695">
        <v>12.7</v>
      </c>
      <c r="F8" s="1134">
        <v>12.69651</v>
      </c>
      <c r="G8" s="1683">
        <v>12.80546</v>
      </c>
    </row>
    <row r="9" spans="1:7" ht="21" x14ac:dyDescent="0.25">
      <c r="A9" s="390">
        <v>6</v>
      </c>
      <c r="B9" s="1680" t="s">
        <v>1488</v>
      </c>
      <c r="C9" s="1695">
        <v>0</v>
      </c>
      <c r="D9" s="1695">
        <v>0.1109</v>
      </c>
      <c r="E9" s="1695">
        <v>0.1</v>
      </c>
      <c r="F9" s="1134">
        <v>0.11085</v>
      </c>
      <c r="G9" s="1683">
        <v>0.11081000000000001</v>
      </c>
    </row>
    <row r="10" spans="1:7" ht="21" x14ac:dyDescent="0.35">
      <c r="A10" s="390">
        <v>7</v>
      </c>
      <c r="B10" s="1680" t="s">
        <v>645</v>
      </c>
      <c r="C10" s="1695">
        <v>12.359389999999999</v>
      </c>
      <c r="D10" s="1695">
        <v>12.83976</v>
      </c>
      <c r="E10" s="1695">
        <v>13.6</v>
      </c>
      <c r="F10" s="1681">
        <v>13.592560000000001</v>
      </c>
      <c r="G10" s="1682">
        <v>13.615209999999999</v>
      </c>
    </row>
    <row r="11" spans="1:7" ht="21" x14ac:dyDescent="0.35">
      <c r="A11" s="390">
        <v>8</v>
      </c>
      <c r="B11" s="1680" t="s">
        <v>223</v>
      </c>
      <c r="C11" s="1695">
        <v>66.203559999999996</v>
      </c>
      <c r="D11" s="1695">
        <v>69.271630000000002</v>
      </c>
      <c r="E11" s="1695">
        <v>73.8</v>
      </c>
      <c r="F11" s="1681">
        <v>73.810059999999993</v>
      </c>
      <c r="G11" s="1682">
        <v>75.184650000000005</v>
      </c>
    </row>
    <row r="12" spans="1:7" ht="21" x14ac:dyDescent="0.35">
      <c r="A12" s="390">
        <v>9</v>
      </c>
      <c r="B12" s="1680" t="s">
        <v>709</v>
      </c>
      <c r="C12" s="1695">
        <v>167.18454</v>
      </c>
      <c r="D12" s="1695">
        <v>175.03066999999999</v>
      </c>
      <c r="E12" s="1695">
        <v>185.9</v>
      </c>
      <c r="F12" s="1681">
        <v>185.93754000000001</v>
      </c>
      <c r="G12" s="1682">
        <v>189.80268000000001</v>
      </c>
    </row>
    <row r="13" spans="1:7" ht="21" x14ac:dyDescent="0.35">
      <c r="A13" s="390">
        <v>10</v>
      </c>
      <c r="B13" s="1684" t="s">
        <v>757</v>
      </c>
      <c r="C13" s="1696">
        <v>4.4987700000000004</v>
      </c>
      <c r="D13" s="1696">
        <v>4.9645000000000001</v>
      </c>
      <c r="E13" s="1696">
        <v>5.3</v>
      </c>
      <c r="F13" s="1681">
        <v>5.3007600000000004</v>
      </c>
      <c r="G13" s="1682">
        <v>5.3132299999999999</v>
      </c>
    </row>
    <row r="14" spans="1:7" ht="20.25" x14ac:dyDescent="0.3">
      <c r="A14" s="390">
        <v>11</v>
      </c>
      <c r="B14" s="1685" t="s">
        <v>1726</v>
      </c>
      <c r="C14" s="1694">
        <v>272.50781999999998</v>
      </c>
      <c r="D14" s="1694">
        <v>285.18151</v>
      </c>
      <c r="E14" s="1694">
        <v>306.60000000000002</v>
      </c>
      <c r="F14" s="1686">
        <v>306.72208000000001</v>
      </c>
      <c r="G14" s="1687">
        <v>313.37603000000001</v>
      </c>
    </row>
    <row r="15" spans="1:7" ht="21" x14ac:dyDescent="0.35">
      <c r="A15" s="390">
        <v>12</v>
      </c>
      <c r="B15" s="1684" t="s">
        <v>220</v>
      </c>
      <c r="C15" s="1697">
        <v>0.47817999999999999</v>
      </c>
      <c r="D15" s="1697">
        <v>0.49247000000000002</v>
      </c>
      <c r="E15" s="1697">
        <v>0.5</v>
      </c>
      <c r="F15" s="1681">
        <v>0.53793999999999997</v>
      </c>
      <c r="G15" s="1682">
        <v>0.55142999999999998</v>
      </c>
    </row>
    <row r="16" spans="1:7" ht="21" x14ac:dyDescent="0.35">
      <c r="A16" s="390">
        <v>13</v>
      </c>
      <c r="B16" s="1680" t="s">
        <v>331</v>
      </c>
      <c r="C16" s="1695">
        <v>39.798540000000003</v>
      </c>
      <c r="D16" s="1695">
        <v>44.148060000000001</v>
      </c>
      <c r="E16" s="1695">
        <v>50.9</v>
      </c>
      <c r="F16" s="1681">
        <v>50.973439999999997</v>
      </c>
      <c r="G16" s="1682">
        <v>52.556919999999998</v>
      </c>
    </row>
    <row r="17" spans="1:7" ht="21" x14ac:dyDescent="0.35">
      <c r="A17" s="390">
        <v>14</v>
      </c>
      <c r="B17" s="1680" t="s">
        <v>1492</v>
      </c>
      <c r="C17" s="1695">
        <v>1.78392</v>
      </c>
      <c r="D17" s="1695">
        <v>2.0202900000000001</v>
      </c>
      <c r="E17" s="1695">
        <v>2.2000000000000002</v>
      </c>
      <c r="F17" s="1681">
        <v>2.2491599999999998</v>
      </c>
      <c r="G17" s="1682">
        <v>2.2914300000000001</v>
      </c>
    </row>
    <row r="18" spans="1:7" ht="21" x14ac:dyDescent="0.35">
      <c r="A18" s="390">
        <v>15</v>
      </c>
      <c r="B18" s="1680" t="s">
        <v>1493</v>
      </c>
      <c r="C18" s="1695">
        <v>1.73142</v>
      </c>
      <c r="D18" s="1695">
        <v>2.1492800000000001</v>
      </c>
      <c r="E18" s="1695">
        <v>3.2</v>
      </c>
      <c r="F18" s="1681">
        <v>3.1715499999999999</v>
      </c>
      <c r="G18" s="1682">
        <v>3.2421000000000002</v>
      </c>
    </row>
    <row r="19" spans="1:7" ht="21" x14ac:dyDescent="0.35">
      <c r="A19" s="390">
        <v>16</v>
      </c>
      <c r="B19" s="1680" t="s">
        <v>1494</v>
      </c>
      <c r="C19" s="1695">
        <v>0.29644999999999999</v>
      </c>
      <c r="D19" s="1695">
        <v>0.33595000000000003</v>
      </c>
      <c r="E19" s="1695">
        <v>0.4</v>
      </c>
      <c r="F19" s="1681">
        <v>0.36005999999999999</v>
      </c>
      <c r="G19" s="1682">
        <v>0.38399</v>
      </c>
    </row>
    <row r="20" spans="1:7" ht="21" x14ac:dyDescent="0.35">
      <c r="A20" s="390">
        <v>17</v>
      </c>
      <c r="B20" s="1680" t="s">
        <v>1495</v>
      </c>
      <c r="C20" s="1695">
        <v>0.77110999999999996</v>
      </c>
      <c r="D20" s="1695">
        <v>0.91807000000000005</v>
      </c>
      <c r="E20" s="1695">
        <v>1.2</v>
      </c>
      <c r="F20" s="1681">
        <v>1.2213799999999999</v>
      </c>
      <c r="G20" s="1682">
        <v>1.32287</v>
      </c>
    </row>
    <row r="21" spans="1:7" ht="21" x14ac:dyDescent="0.35">
      <c r="A21" s="390">
        <v>18</v>
      </c>
      <c r="B21" s="1680" t="s">
        <v>1496</v>
      </c>
      <c r="C21" s="1695">
        <v>0.12457</v>
      </c>
      <c r="D21" s="1695">
        <v>0.13794999999999999</v>
      </c>
      <c r="E21" s="1695">
        <v>0.2</v>
      </c>
      <c r="F21" s="1681">
        <v>0.19872000000000001</v>
      </c>
      <c r="G21" s="1682">
        <v>0.20093</v>
      </c>
    </row>
    <row r="22" spans="1:7" ht="21" x14ac:dyDescent="0.35">
      <c r="A22" s="390">
        <v>19</v>
      </c>
      <c r="B22" s="1680" t="s">
        <v>390</v>
      </c>
      <c r="C22" s="1695">
        <v>2.7190400000000001</v>
      </c>
      <c r="D22" s="1695">
        <v>2.8350300000000002</v>
      </c>
      <c r="E22" s="1695">
        <v>3.2</v>
      </c>
      <c r="F22" s="1681">
        <v>3.16411</v>
      </c>
      <c r="G22" s="1682">
        <v>3.3361800000000001</v>
      </c>
    </row>
    <row r="23" spans="1:7" ht="20.25" x14ac:dyDescent="0.3">
      <c r="A23" s="390">
        <v>20</v>
      </c>
      <c r="B23" s="1685" t="s">
        <v>1727</v>
      </c>
      <c r="C23" s="1694">
        <v>47.703230000000005</v>
      </c>
      <c r="D23" s="1694">
        <v>53.037100000000002</v>
      </c>
      <c r="E23" s="1694">
        <v>61.8</v>
      </c>
      <c r="F23" s="1686">
        <v>61.876359999999998</v>
      </c>
      <c r="G23" s="1687">
        <v>63.885849999999998</v>
      </c>
    </row>
    <row r="24" spans="1:7" ht="21" x14ac:dyDescent="0.35">
      <c r="A24" s="390">
        <v>21</v>
      </c>
      <c r="B24" s="1688" t="s">
        <v>1490</v>
      </c>
      <c r="C24" s="1698">
        <v>0.13403000000000001</v>
      </c>
      <c r="D24" s="1698">
        <v>0.13447000000000001</v>
      </c>
      <c r="E24" s="1698">
        <v>0.1</v>
      </c>
      <c r="F24" s="1681">
        <v>0.13822000000000001</v>
      </c>
      <c r="G24" s="1682">
        <v>0.14036000000000001</v>
      </c>
    </row>
    <row r="25" spans="1:7" ht="21" x14ac:dyDescent="0.35">
      <c r="A25" s="390">
        <v>22</v>
      </c>
      <c r="B25" s="1680" t="s">
        <v>426</v>
      </c>
      <c r="C25" s="1695">
        <v>100.94557</v>
      </c>
      <c r="D25" s="1695">
        <v>107.33364</v>
      </c>
      <c r="E25" s="1695">
        <v>116.2</v>
      </c>
      <c r="F25" s="1681">
        <v>116.28502</v>
      </c>
      <c r="G25" s="1682">
        <v>120.68089999999999</v>
      </c>
    </row>
    <row r="26" spans="1:7" ht="21" x14ac:dyDescent="0.35">
      <c r="A26" s="390">
        <v>23</v>
      </c>
      <c r="B26" s="1680" t="s">
        <v>541</v>
      </c>
      <c r="C26" s="1695">
        <v>34.749630000000003</v>
      </c>
      <c r="D26" s="1695">
        <v>36.462200000000003</v>
      </c>
      <c r="E26" s="1695">
        <v>39</v>
      </c>
      <c r="F26" s="1681">
        <v>38.944580000000002</v>
      </c>
      <c r="G26" s="1682">
        <v>39.826189999999997</v>
      </c>
    </row>
    <row r="27" spans="1:7" ht="21" x14ac:dyDescent="0.35">
      <c r="A27" s="390">
        <v>24</v>
      </c>
      <c r="B27" s="1680" t="s">
        <v>631</v>
      </c>
      <c r="C27" s="1695">
        <v>51.88279</v>
      </c>
      <c r="D27" s="1695">
        <v>53.196849999999998</v>
      </c>
      <c r="E27" s="1695">
        <v>55.5</v>
      </c>
      <c r="F27" s="1681">
        <v>55.491459999999996</v>
      </c>
      <c r="G27" s="1682">
        <v>56.529209999999999</v>
      </c>
    </row>
    <row r="28" spans="1:7" ht="21" x14ac:dyDescent="0.35">
      <c r="A28" s="390">
        <v>25</v>
      </c>
      <c r="B28" s="1680" t="s">
        <v>225</v>
      </c>
      <c r="C28" s="1695">
        <v>109.084</v>
      </c>
      <c r="D28" s="1695">
        <v>123.72225</v>
      </c>
      <c r="E28" s="1695">
        <v>123.8</v>
      </c>
      <c r="F28" s="1681">
        <v>123.74688</v>
      </c>
      <c r="G28" s="1682">
        <v>123.72633999999999</v>
      </c>
    </row>
    <row r="29" spans="1:7" ht="20.25" x14ac:dyDescent="0.3">
      <c r="A29" s="390">
        <v>26</v>
      </c>
      <c r="B29" s="1685" t="s">
        <v>1728</v>
      </c>
      <c r="C29" s="1694">
        <v>296.79602</v>
      </c>
      <c r="D29" s="1694">
        <v>320.84940999999998</v>
      </c>
      <c r="E29" s="1694">
        <v>334.5</v>
      </c>
      <c r="F29" s="1686">
        <v>334.60615999999999</v>
      </c>
      <c r="G29" s="1687">
        <v>340.90300000000002</v>
      </c>
    </row>
    <row r="30" spans="1:7" ht="21" x14ac:dyDescent="0.35">
      <c r="A30" s="390">
        <v>27</v>
      </c>
      <c r="B30" s="1680" t="s">
        <v>452</v>
      </c>
      <c r="C30" s="1695">
        <v>33.511809999999997</v>
      </c>
      <c r="D30" s="1695">
        <v>34.92221</v>
      </c>
      <c r="E30" s="1695">
        <v>37.9</v>
      </c>
      <c r="F30" s="1681">
        <v>38.013620000000003</v>
      </c>
      <c r="G30" s="1682">
        <v>39.757559999999998</v>
      </c>
    </row>
    <row r="31" spans="1:7" ht="42" x14ac:dyDescent="0.25">
      <c r="A31" s="390">
        <v>28</v>
      </c>
      <c r="B31" s="1689" t="s">
        <v>1498</v>
      </c>
      <c r="C31" s="1695">
        <v>0.15049999999999999</v>
      </c>
      <c r="D31" s="1695">
        <v>0.15032999999999999</v>
      </c>
      <c r="E31" s="1695">
        <v>0.2</v>
      </c>
      <c r="F31" s="1134">
        <v>0.17791000000000001</v>
      </c>
      <c r="G31" s="1683">
        <v>0.18923000000000001</v>
      </c>
    </row>
    <row r="32" spans="1:7" ht="21" x14ac:dyDescent="0.35">
      <c r="A32" s="390">
        <v>29</v>
      </c>
      <c r="B32" s="1680" t="s">
        <v>466</v>
      </c>
      <c r="C32" s="1695">
        <v>1.081E-2</v>
      </c>
      <c r="D32" s="1695">
        <v>1.265E-2</v>
      </c>
      <c r="E32" s="1695">
        <v>0.02</v>
      </c>
      <c r="F32" s="1681">
        <v>1.9550000000000001E-2</v>
      </c>
      <c r="G32" s="1682">
        <v>2.0469999999999999E-2</v>
      </c>
    </row>
    <row r="33" spans="1:7" ht="21" x14ac:dyDescent="0.35">
      <c r="A33" s="390">
        <v>30</v>
      </c>
      <c r="B33" s="1680" t="s">
        <v>822</v>
      </c>
      <c r="C33" s="1695">
        <v>34.38252</v>
      </c>
      <c r="D33" s="1695">
        <v>38.432369999999999</v>
      </c>
      <c r="E33" s="1695">
        <v>43</v>
      </c>
      <c r="F33" s="1681">
        <v>43.082450000000001</v>
      </c>
      <c r="G33" s="1682">
        <v>44.025860000000002</v>
      </c>
    </row>
    <row r="34" spans="1:7" ht="21" x14ac:dyDescent="0.35">
      <c r="A34" s="390">
        <v>31</v>
      </c>
      <c r="B34" s="1680" t="s">
        <v>578</v>
      </c>
      <c r="C34" s="1695">
        <v>79.385959999999997</v>
      </c>
      <c r="D34" s="1695">
        <v>82.274270000000001</v>
      </c>
      <c r="E34" s="1695">
        <v>88.3</v>
      </c>
      <c r="F34" s="1681">
        <v>88.465770000000006</v>
      </c>
      <c r="G34" s="1682">
        <v>90.441839999999999</v>
      </c>
    </row>
    <row r="35" spans="1:7" ht="21" x14ac:dyDescent="0.35">
      <c r="A35" s="390">
        <v>32</v>
      </c>
      <c r="B35" s="1680" t="s">
        <v>606</v>
      </c>
      <c r="C35" s="1695">
        <v>46.98339</v>
      </c>
      <c r="D35" s="1695">
        <v>48.900550000000003</v>
      </c>
      <c r="E35" s="1695">
        <v>52.2</v>
      </c>
      <c r="F35" s="1681">
        <v>52.172870000000003</v>
      </c>
      <c r="G35" s="1682">
        <v>52.677529999999997</v>
      </c>
    </row>
    <row r="36" spans="1:7" ht="20.25" x14ac:dyDescent="0.3">
      <c r="A36" s="390">
        <v>33</v>
      </c>
      <c r="B36" s="1690" t="s">
        <v>1729</v>
      </c>
      <c r="C36" s="1694">
        <v>194.42498999999998</v>
      </c>
      <c r="D36" s="1694">
        <v>204.69238000000001</v>
      </c>
      <c r="E36" s="1694">
        <v>221.6</v>
      </c>
      <c r="F36" s="1686">
        <v>221.93217000000001</v>
      </c>
      <c r="G36" s="1687">
        <v>227.11248999999998</v>
      </c>
    </row>
    <row r="37" spans="1:7" ht="21" x14ac:dyDescent="0.35">
      <c r="A37" s="390">
        <v>34</v>
      </c>
      <c r="B37" s="1680" t="s">
        <v>221</v>
      </c>
      <c r="C37" s="1695">
        <v>4.1686100000000001</v>
      </c>
      <c r="D37" s="1695">
        <v>5.1243699999999999</v>
      </c>
      <c r="E37" s="1695">
        <v>9.6999999999999993</v>
      </c>
      <c r="F37" s="1681">
        <v>9.7321299999999997</v>
      </c>
      <c r="G37" s="1682">
        <v>11.38039</v>
      </c>
    </row>
    <row r="38" spans="1:7" ht="21" x14ac:dyDescent="0.35">
      <c r="A38" s="390">
        <v>35</v>
      </c>
      <c r="B38" s="1680" t="s">
        <v>550</v>
      </c>
      <c r="C38" s="1695">
        <v>34.664679999999997</v>
      </c>
      <c r="D38" s="1695">
        <v>37.577039999999997</v>
      </c>
      <c r="E38" s="1695">
        <v>41.5</v>
      </c>
      <c r="F38" s="1681">
        <v>41.465319999999998</v>
      </c>
      <c r="G38" s="1682">
        <v>42.386490000000002</v>
      </c>
    </row>
    <row r="39" spans="1:7" ht="21" x14ac:dyDescent="0.35">
      <c r="A39" s="390">
        <v>36</v>
      </c>
      <c r="B39" s="1680" t="s">
        <v>568</v>
      </c>
      <c r="C39" s="1695">
        <v>3.0049800000000002</v>
      </c>
      <c r="D39" s="1695">
        <v>3.41187</v>
      </c>
      <c r="E39" s="1695">
        <v>3.9</v>
      </c>
      <c r="F39" s="1681">
        <v>3.8775900000000001</v>
      </c>
      <c r="G39" s="1682">
        <v>3.9126300000000001</v>
      </c>
    </row>
    <row r="40" spans="1:7" ht="21" x14ac:dyDescent="0.35">
      <c r="A40" s="390">
        <v>37</v>
      </c>
      <c r="B40" s="1680" t="s">
        <v>1500</v>
      </c>
      <c r="C40" s="1695">
        <v>3.0200000000000001E-3</v>
      </c>
      <c r="D40" s="1695">
        <v>3.0899999999999999E-3</v>
      </c>
      <c r="E40" s="1695">
        <v>4.0000000000000001E-3</v>
      </c>
      <c r="F40" s="1691">
        <v>3.7000000000000002E-3</v>
      </c>
      <c r="G40" s="1692">
        <v>3.7000000000000002E-3</v>
      </c>
    </row>
    <row r="41" spans="1:7" ht="21" x14ac:dyDescent="0.35">
      <c r="A41" s="390">
        <v>38</v>
      </c>
      <c r="B41" s="1684" t="s">
        <v>851</v>
      </c>
      <c r="C41" s="1696">
        <v>0.14218</v>
      </c>
      <c r="D41" s="1696">
        <v>0.14832999999999999</v>
      </c>
      <c r="E41" s="1696">
        <v>0.2</v>
      </c>
      <c r="F41" s="1681">
        <v>0.19389000000000001</v>
      </c>
      <c r="G41" s="1682">
        <v>0.20448</v>
      </c>
    </row>
    <row r="42" spans="1:7" ht="21" x14ac:dyDescent="0.35">
      <c r="A42" s="390">
        <v>39</v>
      </c>
      <c r="B42" s="1680" t="s">
        <v>224</v>
      </c>
      <c r="C42" s="1695">
        <v>34.502560000000003</v>
      </c>
      <c r="D42" s="1695">
        <v>37.040579999999999</v>
      </c>
      <c r="E42" s="1695">
        <v>41</v>
      </c>
      <c r="F42" s="1681">
        <v>40.998049999999999</v>
      </c>
      <c r="G42" s="1682">
        <v>42.031059999999997</v>
      </c>
    </row>
    <row r="43" spans="1:7" ht="21" x14ac:dyDescent="0.35">
      <c r="A43" s="390">
        <v>40</v>
      </c>
      <c r="B43" s="1680" t="s">
        <v>691</v>
      </c>
      <c r="C43" s="1695">
        <v>11.11322</v>
      </c>
      <c r="D43" s="1695">
        <v>11.528499999999999</v>
      </c>
      <c r="E43" s="1695">
        <v>11.9</v>
      </c>
      <c r="F43" s="1681">
        <v>11.841710000000001</v>
      </c>
      <c r="G43" s="1682">
        <v>12.356339999999999</v>
      </c>
    </row>
    <row r="44" spans="1:7" ht="20.25" x14ac:dyDescent="0.3">
      <c r="A44" s="390">
        <v>41</v>
      </c>
      <c r="B44" s="1690" t="s">
        <v>1730</v>
      </c>
      <c r="C44" s="1694">
        <v>87.599249999999998</v>
      </c>
      <c r="D44" s="1694">
        <v>94.833780000000004</v>
      </c>
      <c r="E44" s="1694">
        <v>108.1</v>
      </c>
      <c r="F44" s="1686">
        <v>108.11239</v>
      </c>
      <c r="G44" s="1687">
        <v>112.27508999999999</v>
      </c>
    </row>
    <row r="45" spans="1:7" ht="20.25" x14ac:dyDescent="0.3">
      <c r="A45" s="390">
        <v>42</v>
      </c>
      <c r="B45" s="1693" t="s">
        <v>1029</v>
      </c>
      <c r="C45" s="1694">
        <v>899.03130999999985</v>
      </c>
      <c r="D45" s="1694">
        <v>958.59418000000005</v>
      </c>
      <c r="E45" s="1694">
        <v>1032.7</v>
      </c>
      <c r="F45" s="1686">
        <v>1033.2491600000001</v>
      </c>
      <c r="G45" s="1687">
        <v>1057.5524600000001</v>
      </c>
    </row>
    <row r="46" spans="1:7" ht="17.25" customHeight="1" x14ac:dyDescent="0.3">
      <c r="A46" s="390">
        <v>43</v>
      </c>
      <c r="B46" s="540" t="s">
        <v>2431</v>
      </c>
      <c r="C46" s="112"/>
      <c r="D46" s="112"/>
      <c r="E46" s="112"/>
      <c r="F46" s="880"/>
      <c r="G46" s="991"/>
    </row>
    <row r="47" spans="1:7" ht="17.25" customHeight="1" x14ac:dyDescent="0.25">
      <c r="A47" s="390">
        <v>44</v>
      </c>
      <c r="B47" s="540" t="s">
        <v>1731</v>
      </c>
      <c r="C47" s="112"/>
      <c r="D47" s="112"/>
      <c r="E47" s="112"/>
      <c r="F47" s="880"/>
      <c r="G47" s="991"/>
    </row>
    <row r="48" spans="1:7" ht="15" customHeight="1" x14ac:dyDescent="0.25">
      <c r="A48" s="390">
        <v>45</v>
      </c>
      <c r="B48" s="990"/>
      <c r="C48" s="880"/>
      <c r="D48" s="880"/>
      <c r="E48" s="880"/>
      <c r="F48" s="880"/>
      <c r="G48" s="991"/>
    </row>
    <row r="49" spans="2:11" x14ac:dyDescent="0.25">
      <c r="B49" s="990"/>
      <c r="C49" s="880"/>
      <c r="D49" s="880"/>
      <c r="E49" s="880"/>
      <c r="F49" s="992"/>
      <c r="G49" s="991"/>
    </row>
    <row r="50" spans="2:11" x14ac:dyDescent="0.25">
      <c r="B50" s="990"/>
      <c r="C50" s="880"/>
      <c r="D50" s="880"/>
      <c r="E50" s="880"/>
      <c r="F50" s="992"/>
      <c r="G50" s="991"/>
    </row>
    <row r="51" spans="2:11" x14ac:dyDescent="0.3">
      <c r="B51" s="990"/>
      <c r="C51" s="880"/>
      <c r="D51" s="880"/>
      <c r="E51" s="880"/>
      <c r="F51" s="992"/>
      <c r="G51" s="991"/>
      <c r="I51" s="480" t="s">
        <v>1732</v>
      </c>
      <c r="J51" s="480" t="str">
        <f>F3</f>
        <v>01.4.2025</v>
      </c>
      <c r="K51" s="480" t="str">
        <f>G3</f>
        <v>01.4.2026</v>
      </c>
    </row>
    <row r="52" spans="2:11" x14ac:dyDescent="0.25">
      <c r="B52" s="990"/>
      <c r="C52" s="880"/>
      <c r="D52" s="880"/>
      <c r="E52" s="880"/>
      <c r="F52" s="992"/>
      <c r="G52" s="991"/>
      <c r="I52" s="391" t="s">
        <v>1733</v>
      </c>
      <c r="J52" s="481">
        <f>F14/$F$45</f>
        <v>0.29685200034423448</v>
      </c>
      <c r="K52" s="481">
        <f>G14/$G$45</f>
        <v>0.29632197158332929</v>
      </c>
    </row>
    <row r="53" spans="2:11" x14ac:dyDescent="0.25">
      <c r="B53" s="990"/>
      <c r="C53" s="880"/>
      <c r="D53" s="880"/>
      <c r="E53" s="880"/>
      <c r="F53" s="992"/>
      <c r="G53" s="991"/>
      <c r="I53" s="391" t="s">
        <v>1734</v>
      </c>
      <c r="J53" s="481">
        <f>F23/$F$45</f>
        <v>5.9885226521742337E-2</v>
      </c>
      <c r="K53" s="481">
        <f>G23/$G$45</f>
        <v>6.0409154549174789E-2</v>
      </c>
    </row>
    <row r="54" spans="2:11" x14ac:dyDescent="0.25">
      <c r="B54" s="990"/>
      <c r="C54" s="880"/>
      <c r="D54" s="880"/>
      <c r="E54" s="880"/>
      <c r="F54" s="992"/>
      <c r="G54" s="991"/>
      <c r="I54" s="391" t="s">
        <v>1735</v>
      </c>
      <c r="J54" s="481">
        <f>F29/$F$45</f>
        <v>0.32383879218445238</v>
      </c>
      <c r="K54" s="481">
        <f>G29/$G$45</f>
        <v>0.32235091202946092</v>
      </c>
    </row>
    <row r="55" spans="2:11" x14ac:dyDescent="0.25">
      <c r="B55" s="990"/>
      <c r="C55" s="880"/>
      <c r="D55" s="880"/>
      <c r="E55" s="880"/>
      <c r="F55" s="992"/>
      <c r="G55" s="991"/>
      <c r="I55" s="391" t="s">
        <v>1736</v>
      </c>
      <c r="J55" s="481">
        <f>F36/$F$45</f>
        <v>0.21479056416556874</v>
      </c>
      <c r="K55" s="481">
        <f>G36/$G$45</f>
        <v>0.21475293055438588</v>
      </c>
    </row>
    <row r="56" spans="2:11" x14ac:dyDescent="0.25">
      <c r="B56" s="990"/>
      <c r="C56" s="880"/>
      <c r="D56" s="880"/>
      <c r="E56" s="880"/>
      <c r="F56" s="992"/>
      <c r="G56" s="991"/>
      <c r="I56" s="391" t="s">
        <v>1737</v>
      </c>
      <c r="J56" s="481">
        <f>F44/$F$45</f>
        <v>0.10463341678400202</v>
      </c>
      <c r="K56" s="481">
        <f>G44/$G$45</f>
        <v>0.10616503128364903</v>
      </c>
    </row>
    <row r="57" spans="2:11" x14ac:dyDescent="0.25">
      <c r="B57" s="990"/>
      <c r="C57" s="880"/>
      <c r="D57" s="880"/>
      <c r="E57" s="880"/>
      <c r="F57" s="992"/>
      <c r="G57" s="991"/>
    </row>
    <row r="58" spans="2:11" x14ac:dyDescent="0.25">
      <c r="B58" s="990"/>
      <c r="C58" s="880"/>
      <c r="D58" s="880"/>
      <c r="E58" s="880"/>
      <c r="F58" s="992"/>
      <c r="G58" s="991"/>
    </row>
    <row r="59" spans="2:11" x14ac:dyDescent="0.25">
      <c r="B59" s="990"/>
      <c r="C59" s="880"/>
      <c r="D59" s="880"/>
      <c r="E59" s="880"/>
      <c r="F59" s="992"/>
      <c r="G59" s="991"/>
    </row>
    <row r="60" spans="2:11" x14ac:dyDescent="0.25">
      <c r="B60" s="990"/>
      <c r="C60" s="880"/>
      <c r="D60" s="880"/>
      <c r="E60" s="880"/>
      <c r="F60" s="992"/>
      <c r="G60" s="991"/>
    </row>
    <row r="61" spans="2:11" x14ac:dyDescent="0.25">
      <c r="B61" s="990"/>
      <c r="C61" s="880"/>
      <c r="D61" s="880"/>
      <c r="E61" s="880"/>
      <c r="F61" s="992"/>
      <c r="G61" s="991"/>
    </row>
    <row r="62" spans="2:11" x14ac:dyDescent="0.25">
      <c r="B62" s="990"/>
      <c r="C62" s="880"/>
      <c r="D62" s="880"/>
      <c r="E62" s="880"/>
      <c r="F62" s="992"/>
      <c r="G62" s="991"/>
    </row>
    <row r="63" spans="2:11" x14ac:dyDescent="0.25">
      <c r="B63" s="990"/>
      <c r="C63" s="880"/>
      <c r="D63" s="880"/>
      <c r="E63" s="880"/>
      <c r="F63" s="992"/>
      <c r="G63" s="991"/>
    </row>
    <row r="64" spans="2:11" ht="1.5" customHeight="1" x14ac:dyDescent="0.25">
      <c r="B64" s="990"/>
      <c r="C64" s="880"/>
      <c r="D64" s="880"/>
      <c r="E64" s="880"/>
      <c r="F64" s="992"/>
      <c r="G64" s="991"/>
    </row>
    <row r="65" spans="1:11" x14ac:dyDescent="0.25">
      <c r="B65" s="990"/>
      <c r="C65" s="880"/>
      <c r="D65" s="880"/>
      <c r="E65" s="880"/>
      <c r="F65" s="992"/>
      <c r="G65" s="991"/>
    </row>
    <row r="66" spans="1:11" x14ac:dyDescent="0.25">
      <c r="B66" s="990"/>
      <c r="C66" s="880"/>
      <c r="D66" s="880"/>
      <c r="E66" s="880"/>
      <c r="F66" s="992"/>
      <c r="G66" s="991"/>
    </row>
    <row r="67" spans="1:11" x14ac:dyDescent="0.25">
      <c r="B67" s="990"/>
      <c r="C67" s="880"/>
      <c r="D67" s="880"/>
      <c r="E67" s="880"/>
      <c r="F67" s="992"/>
      <c r="G67" s="991"/>
    </row>
    <row r="68" spans="1:11" x14ac:dyDescent="0.25">
      <c r="B68" s="990"/>
      <c r="C68" s="880"/>
      <c r="D68" s="880"/>
      <c r="E68" s="880"/>
      <c r="F68" s="992"/>
      <c r="G68" s="991"/>
    </row>
    <row r="69" spans="1:11" x14ac:dyDescent="0.25">
      <c r="B69" s="990"/>
      <c r="C69" s="880"/>
      <c r="D69" s="880"/>
      <c r="E69" s="880"/>
      <c r="F69" s="992"/>
      <c r="G69" s="991"/>
    </row>
    <row r="70" spans="1:11" x14ac:dyDescent="0.25">
      <c r="B70" s="990"/>
      <c r="C70" s="880"/>
      <c r="D70" s="880"/>
      <c r="E70" s="880"/>
      <c r="F70" s="992"/>
      <c r="G70" s="991"/>
    </row>
    <row r="71" spans="1:11" x14ac:dyDescent="0.25">
      <c r="B71" s="990"/>
      <c r="C71" s="880"/>
      <c r="D71" s="880"/>
      <c r="E71" s="880"/>
      <c r="F71" s="992"/>
      <c r="G71" s="991"/>
    </row>
    <row r="72" spans="1:11" x14ac:dyDescent="0.25">
      <c r="B72" s="990"/>
      <c r="C72" s="880"/>
      <c r="D72" s="880"/>
      <c r="E72" s="880"/>
      <c r="F72" s="992"/>
      <c r="G72" s="991"/>
    </row>
    <row r="73" spans="1:11" s="237" customFormat="1" x14ac:dyDescent="0.25">
      <c r="A73" s="390"/>
      <c r="B73" s="990"/>
      <c r="C73" s="880"/>
      <c r="D73" s="880"/>
      <c r="E73" s="880"/>
      <c r="F73" s="992"/>
      <c r="G73" s="991"/>
      <c r="I73" s="390"/>
      <c r="J73" s="390"/>
      <c r="K73" s="390"/>
    </row>
    <row r="74" spans="1:11" s="237" customFormat="1" ht="17.25" thickBot="1" x14ac:dyDescent="0.3">
      <c r="A74" s="390"/>
      <c r="B74" s="993"/>
      <c r="C74" s="1038"/>
      <c r="D74" s="1038"/>
      <c r="E74" s="1038"/>
      <c r="F74" s="994"/>
      <c r="G74" s="971"/>
      <c r="I74" s="390"/>
      <c r="J74" s="390"/>
      <c r="K74" s="390"/>
    </row>
  </sheetData>
  <mergeCells count="2">
    <mergeCell ref="B1:G1"/>
    <mergeCell ref="B2:G2"/>
  </mergeCells>
  <pageMargins left="0.70866141732283472" right="0.70866141732283472" top="0.74803149606299213" bottom="0.74803149606299213" header="0.31496062992125984" footer="0.31496062992125984"/>
  <pageSetup paperSize="9" scale="37" orientation="portrait" horizontalDpi="300" verticalDpi="300" r:id="rId1"/>
  <drawing r:id="rId2"/>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B195FE-0094-431C-99C8-8B8B00E86EA7}">
  <sheetPr>
    <tabColor theme="0"/>
    <pageSetUpPr fitToPage="1"/>
  </sheetPr>
  <dimension ref="A1:L70"/>
  <sheetViews>
    <sheetView view="pageLayout" topLeftCell="B1" zoomScaleNormal="100" workbookViewId="0">
      <selection activeCell="B81" sqref="B81"/>
    </sheetView>
  </sheetViews>
  <sheetFormatPr defaultColWidth="0" defaultRowHeight="15.75" customHeight="1" x14ac:dyDescent="0.25"/>
  <cols>
    <col min="1" max="1" width="9.140625" style="390" hidden="1" customWidth="1"/>
    <col min="2" max="2" width="42.28515625" style="390" customWidth="1"/>
    <col min="3" max="3" width="18.5703125" style="390" customWidth="1"/>
    <col min="4" max="4" width="15.7109375" style="390" customWidth="1"/>
    <col min="5" max="5" width="12.140625" style="390" customWidth="1"/>
    <col min="6" max="6" width="16.140625" style="477" customWidth="1"/>
    <col min="7" max="7" width="20" style="477" customWidth="1"/>
    <col min="8" max="8" width="17.5703125" style="477" customWidth="1"/>
    <col min="9" max="9" width="1.42578125" style="390" customWidth="1"/>
    <col min="10" max="10" width="0.85546875" style="390" hidden="1" customWidth="1"/>
    <col min="11" max="11" width="11.5703125" style="390" hidden="1" customWidth="1"/>
    <col min="12" max="12" width="13.28515625" style="390" hidden="1" customWidth="1"/>
    <col min="13" max="16" width="0" style="390" hidden="1" customWidth="1"/>
    <col min="17" max="16384" width="0" style="390" hidden="1"/>
  </cols>
  <sheetData>
    <row r="1" spans="2:12" ht="23.25" customHeight="1" x14ac:dyDescent="0.25">
      <c r="B1" s="3479" t="s">
        <v>1738</v>
      </c>
      <c r="C1" s="3480"/>
      <c r="D1" s="3480"/>
      <c r="E1" s="3480"/>
      <c r="F1" s="3480"/>
      <c r="G1" s="3480"/>
      <c r="H1" s="3481"/>
      <c r="I1" s="398"/>
      <c r="J1" s="398"/>
      <c r="K1" s="398"/>
      <c r="L1" s="398"/>
    </row>
    <row r="2" spans="2:12" ht="15.75" customHeight="1" x14ac:dyDescent="0.25">
      <c r="B2" s="3657" t="s">
        <v>1716</v>
      </c>
      <c r="C2" s="3658"/>
      <c r="D2" s="3658"/>
      <c r="E2" s="3658"/>
      <c r="F2" s="3658"/>
      <c r="G2" s="3658"/>
      <c r="H2" s="3659"/>
      <c r="I2" s="398"/>
      <c r="J2" s="398"/>
      <c r="K2" s="398"/>
      <c r="L2" s="398"/>
    </row>
    <row r="3" spans="2:12" ht="18.75" customHeight="1" x14ac:dyDescent="0.25">
      <c r="B3" s="3660" t="s">
        <v>1477</v>
      </c>
      <c r="C3" s="3661" t="s">
        <v>2561</v>
      </c>
      <c r="D3" s="3662"/>
      <c r="E3" s="3663"/>
      <c r="F3" s="3661" t="s">
        <v>2314</v>
      </c>
      <c r="G3" s="3662"/>
      <c r="H3" s="3663"/>
      <c r="I3" s="398"/>
      <c r="J3" s="398"/>
      <c r="K3" s="395" t="s">
        <v>77</v>
      </c>
      <c r="L3" s="398" t="s">
        <v>1739</v>
      </c>
    </row>
    <row r="4" spans="2:12" ht="15" customHeight="1" x14ac:dyDescent="0.25">
      <c r="B4" s="3660"/>
      <c r="C4" s="1710" t="s">
        <v>1740</v>
      </c>
      <c r="D4" s="1710" t="s">
        <v>1741</v>
      </c>
      <c r="E4" s="1710" t="s">
        <v>133</v>
      </c>
      <c r="F4" s="1710" t="s">
        <v>1740</v>
      </c>
      <c r="G4" s="1710" t="s">
        <v>1741</v>
      </c>
      <c r="H4" s="1710" t="s">
        <v>133</v>
      </c>
    </row>
    <row r="5" spans="2:12" ht="18.75" x14ac:dyDescent="0.25">
      <c r="B5" s="1699" t="s">
        <v>1484</v>
      </c>
      <c r="C5" s="1700">
        <v>5.423E-2</v>
      </c>
      <c r="D5" s="1711">
        <v>1.0000000000000001E-5</v>
      </c>
      <c r="E5" s="1700">
        <f>+C5+D5</f>
        <v>5.4240000000000003E-2</v>
      </c>
      <c r="F5" s="1700">
        <v>5.2650000000000002E-2</v>
      </c>
      <c r="G5" s="1701">
        <v>3.6000000000000002E-4</v>
      </c>
      <c r="H5" s="1700">
        <v>5.3010000000000002E-2</v>
      </c>
      <c r="L5" s="391"/>
    </row>
    <row r="6" spans="2:12" ht="18.75" x14ac:dyDescent="0.25">
      <c r="B6" s="1699" t="s">
        <v>1485</v>
      </c>
      <c r="C6" s="1700">
        <v>1.0819300000000001</v>
      </c>
      <c r="D6" s="1701">
        <v>1.9599999999999999E-3</v>
      </c>
      <c r="E6" s="1700">
        <f t="shared" ref="E6:E44" si="0">+C6+D6</f>
        <v>1.08389</v>
      </c>
      <c r="F6" s="1700">
        <v>0.87082999999999999</v>
      </c>
      <c r="G6" s="1701">
        <v>5.5799999999999999E-3</v>
      </c>
      <c r="H6" s="1700">
        <v>0.87641000000000002</v>
      </c>
      <c r="L6" s="391"/>
    </row>
    <row r="7" spans="2:12" ht="18.75" x14ac:dyDescent="0.25">
      <c r="B7" s="1699" t="s">
        <v>507</v>
      </c>
      <c r="C7" s="1700">
        <v>2.45696</v>
      </c>
      <c r="D7" s="1701">
        <v>1.9300000000000001E-3</v>
      </c>
      <c r="E7" s="1700">
        <f t="shared" si="0"/>
        <v>2.4588900000000002</v>
      </c>
      <c r="F7" s="1700">
        <v>1.8492999999999999</v>
      </c>
      <c r="G7" s="1701">
        <v>1.44E-2</v>
      </c>
      <c r="H7" s="1700">
        <v>1.8636999999999999</v>
      </c>
      <c r="L7" s="391"/>
    </row>
    <row r="8" spans="2:12" ht="18.75" x14ac:dyDescent="0.25">
      <c r="B8" s="1699" t="s">
        <v>538</v>
      </c>
      <c r="C8" s="1700">
        <v>0.34281</v>
      </c>
      <c r="D8" s="1701">
        <v>2.0200000000000001E-3</v>
      </c>
      <c r="E8" s="1700">
        <f t="shared" si="0"/>
        <v>0.34483000000000003</v>
      </c>
      <c r="F8" s="1700">
        <v>0.34610000000000002</v>
      </c>
      <c r="G8" s="1701">
        <v>4.2399999999999998E-3</v>
      </c>
      <c r="H8" s="1700">
        <v>0.35033999999999998</v>
      </c>
      <c r="L8" s="391"/>
    </row>
    <row r="9" spans="2:12" ht="18.75" x14ac:dyDescent="0.25">
      <c r="B9" s="1702" t="s">
        <v>1521</v>
      </c>
      <c r="C9" s="1703">
        <v>0.39794000000000002</v>
      </c>
      <c r="D9" s="1704">
        <v>1.4E-3</v>
      </c>
      <c r="E9" s="1700">
        <f t="shared" si="0"/>
        <v>0.39934000000000003</v>
      </c>
      <c r="F9" s="1703">
        <v>0.38496999999999998</v>
      </c>
      <c r="G9" s="1704">
        <v>2.5500000000000002E-3</v>
      </c>
      <c r="H9" s="1703">
        <v>0.38751999999999998</v>
      </c>
      <c r="L9" s="391"/>
    </row>
    <row r="10" spans="2:12" ht="18.75" x14ac:dyDescent="0.25">
      <c r="B10" s="1702" t="s">
        <v>1488</v>
      </c>
      <c r="C10" s="1703">
        <v>2.9139999999999999E-2</v>
      </c>
      <c r="D10" s="1704">
        <v>6.9999999999999994E-5</v>
      </c>
      <c r="E10" s="1700">
        <f t="shared" si="0"/>
        <v>2.921E-2</v>
      </c>
      <c r="F10" s="1703">
        <v>3.7870000000000001E-2</v>
      </c>
      <c r="G10" s="1704">
        <v>2.7999999999999998E-4</v>
      </c>
      <c r="H10" s="1703">
        <v>3.8150000000000003E-2</v>
      </c>
      <c r="L10" s="391"/>
    </row>
    <row r="11" spans="2:12" ht="18.75" x14ac:dyDescent="0.25">
      <c r="B11" s="1699" t="s">
        <v>645</v>
      </c>
      <c r="C11" s="1700">
        <v>1.4074899999999999</v>
      </c>
      <c r="D11" s="1701">
        <v>2.7899999999999999E-3</v>
      </c>
      <c r="E11" s="1700">
        <f t="shared" si="0"/>
        <v>1.41028</v>
      </c>
      <c r="F11" s="1700">
        <v>0.97333999999999998</v>
      </c>
      <c r="G11" s="1701">
        <v>6.6100000000000004E-3</v>
      </c>
      <c r="H11" s="1700">
        <v>0.97994999999999999</v>
      </c>
      <c r="L11" s="391"/>
    </row>
    <row r="12" spans="2:12" ht="18.75" x14ac:dyDescent="0.25">
      <c r="B12" s="1699" t="s">
        <v>223</v>
      </c>
      <c r="C12" s="1700">
        <v>2.80755</v>
      </c>
      <c r="D12" s="1701">
        <v>8.9099999999999995E-3</v>
      </c>
      <c r="E12" s="1700">
        <f t="shared" si="0"/>
        <v>2.8164600000000002</v>
      </c>
      <c r="F12" s="1700">
        <v>1.50651</v>
      </c>
      <c r="G12" s="1701">
        <v>1.329E-2</v>
      </c>
      <c r="H12" s="1700">
        <v>1.5198</v>
      </c>
      <c r="L12" s="391"/>
    </row>
    <row r="13" spans="2:12" ht="18.75" x14ac:dyDescent="0.25">
      <c r="B13" s="1699" t="s">
        <v>709</v>
      </c>
      <c r="C13" s="1700">
        <v>8.94618</v>
      </c>
      <c r="D13" s="1701">
        <v>1.6650000000000002E-2</v>
      </c>
      <c r="E13" s="1700">
        <f t="shared" si="0"/>
        <v>8.9628300000000003</v>
      </c>
      <c r="F13" s="1700">
        <v>4.9909800000000004</v>
      </c>
      <c r="G13" s="1701">
        <v>5.04E-2</v>
      </c>
      <c r="H13" s="1700">
        <v>5.0413800000000002</v>
      </c>
      <c r="L13" s="391"/>
    </row>
    <row r="14" spans="2:12" ht="18.75" x14ac:dyDescent="0.25">
      <c r="B14" s="663" t="s">
        <v>757</v>
      </c>
      <c r="C14" s="1705">
        <v>0.58557999999999999</v>
      </c>
      <c r="D14" s="1706">
        <v>1.6299999999999999E-3</v>
      </c>
      <c r="E14" s="1700">
        <f t="shared" si="0"/>
        <v>0.58721000000000001</v>
      </c>
      <c r="F14" s="1705">
        <v>0.61487999999999998</v>
      </c>
      <c r="G14" s="1706">
        <v>5.8900000000000003E-3</v>
      </c>
      <c r="H14" s="1705">
        <v>0.62077000000000004</v>
      </c>
      <c r="L14" s="391"/>
    </row>
    <row r="15" spans="2:12" ht="18.75" x14ac:dyDescent="0.25">
      <c r="B15" s="667" t="s">
        <v>1726</v>
      </c>
      <c r="C15" s="1707">
        <f>SUM(C5:C14)</f>
        <v>18.109810000000003</v>
      </c>
      <c r="D15" s="1712">
        <f>SUM(D5:D14)</f>
        <v>3.737E-2</v>
      </c>
      <c r="E15" s="1707">
        <f>SUM(E5:E14)</f>
        <v>18.147179999999999</v>
      </c>
      <c r="F15" s="1707">
        <v>11.62743</v>
      </c>
      <c r="G15" s="1707">
        <v>0.10360000000000001</v>
      </c>
      <c r="H15" s="1707">
        <v>11.731030000000001</v>
      </c>
      <c r="L15" s="391"/>
    </row>
    <row r="16" spans="2:12" ht="18.75" x14ac:dyDescent="0.25">
      <c r="B16" s="1699" t="s">
        <v>220</v>
      </c>
      <c r="C16" s="1700">
        <v>0.10005</v>
      </c>
      <c r="D16" s="1701">
        <v>1.81E-3</v>
      </c>
      <c r="E16" s="1700">
        <f t="shared" si="0"/>
        <v>0.10186000000000001</v>
      </c>
      <c r="F16" s="1700">
        <v>9.4229999999999994E-2</v>
      </c>
      <c r="G16" s="1701">
        <v>3.9100000000000003E-3</v>
      </c>
      <c r="H16" s="1700">
        <v>9.8140000000000005E-2</v>
      </c>
      <c r="L16" s="391"/>
    </row>
    <row r="17" spans="2:12" ht="18.75" x14ac:dyDescent="0.25">
      <c r="B17" s="1699" t="s">
        <v>331</v>
      </c>
      <c r="C17" s="1700">
        <v>2.38741</v>
      </c>
      <c r="D17" s="1701">
        <v>4.0499999999999998E-3</v>
      </c>
      <c r="E17" s="1700">
        <f t="shared" si="0"/>
        <v>2.3914599999999999</v>
      </c>
      <c r="F17" s="1700">
        <v>0.66313999999999995</v>
      </c>
      <c r="G17" s="1701">
        <v>7.3699999999999998E-3</v>
      </c>
      <c r="H17" s="1700">
        <v>0.67051000000000005</v>
      </c>
    </row>
    <row r="18" spans="2:12" ht="18.75" x14ac:dyDescent="0.25">
      <c r="B18" s="1699" t="s">
        <v>1492</v>
      </c>
      <c r="C18" s="1700">
        <v>0.16141</v>
      </c>
      <c r="D18" s="1701">
        <v>8.5999999999999998E-4</v>
      </c>
      <c r="E18" s="1700">
        <f t="shared" si="0"/>
        <v>0.16227</v>
      </c>
      <c r="F18" s="1700">
        <v>0.15372</v>
      </c>
      <c r="G18" s="1701">
        <v>1.7700000000000001E-3</v>
      </c>
      <c r="H18" s="1700">
        <v>0.15548999999999999</v>
      </c>
    </row>
    <row r="19" spans="2:12" ht="18.75" x14ac:dyDescent="0.25">
      <c r="B19" s="1699" t="s">
        <v>1493</v>
      </c>
      <c r="C19" s="1700">
        <v>0.12529000000000001</v>
      </c>
      <c r="D19" s="1701">
        <v>4.7000000000000002E-3</v>
      </c>
      <c r="E19" s="1700">
        <f t="shared" si="0"/>
        <v>0.12999000000000002</v>
      </c>
      <c r="F19" s="1700">
        <v>7.4490000000000001E-2</v>
      </c>
      <c r="G19" s="1701">
        <v>1.34E-3</v>
      </c>
      <c r="H19" s="1700">
        <v>7.5829999999999995E-2</v>
      </c>
      <c r="L19" s="390" t="s">
        <v>1551</v>
      </c>
    </row>
    <row r="20" spans="2:12" ht="18.75" x14ac:dyDescent="0.25">
      <c r="B20" s="1699" t="s">
        <v>1494</v>
      </c>
      <c r="C20" s="1700">
        <v>8.2619999999999999E-2</v>
      </c>
      <c r="D20" s="1701">
        <v>2.0200000000000001E-3</v>
      </c>
      <c r="E20" s="1700">
        <f t="shared" si="0"/>
        <v>8.4639999999999993E-2</v>
      </c>
      <c r="F20" s="1700">
        <v>5.253E-2</v>
      </c>
      <c r="G20" s="1701">
        <v>6.7999999999999996E-3</v>
      </c>
      <c r="H20" s="1700">
        <v>5.9330000000000001E-2</v>
      </c>
    </row>
    <row r="21" spans="2:12" ht="18.75" x14ac:dyDescent="0.25">
      <c r="B21" s="1699" t="s">
        <v>1495</v>
      </c>
      <c r="C21" s="1700">
        <v>0.14810000000000001</v>
      </c>
      <c r="D21" s="1701">
        <v>7.1000000000000002E-4</v>
      </c>
      <c r="E21" s="1700">
        <f t="shared" si="0"/>
        <v>0.14881</v>
      </c>
      <c r="F21" s="1700">
        <v>5.0279999999999998E-2</v>
      </c>
      <c r="G21" s="1701">
        <v>8.0000000000000004E-4</v>
      </c>
      <c r="H21" s="1700">
        <v>5.108E-2</v>
      </c>
    </row>
    <row r="22" spans="2:12" ht="18.75" x14ac:dyDescent="0.25">
      <c r="B22" s="1699" t="s">
        <v>1496</v>
      </c>
      <c r="C22" s="1700">
        <v>4.7789999999999999E-2</v>
      </c>
      <c r="D22" s="1701">
        <v>2.5999999999999998E-4</v>
      </c>
      <c r="E22" s="1700">
        <f t="shared" si="0"/>
        <v>4.8050000000000002E-2</v>
      </c>
      <c r="F22" s="1700">
        <v>4.5920000000000002E-2</v>
      </c>
      <c r="G22" s="1701">
        <v>8.3000000000000001E-4</v>
      </c>
      <c r="H22" s="1700">
        <v>4.675E-2</v>
      </c>
    </row>
    <row r="23" spans="2:12" ht="18.75" x14ac:dyDescent="0.25">
      <c r="B23" s="1699" t="s">
        <v>390</v>
      </c>
      <c r="C23" s="1700">
        <v>0.29348000000000002</v>
      </c>
      <c r="D23" s="1701">
        <v>2.4099999999999998E-3</v>
      </c>
      <c r="E23" s="1700">
        <f t="shared" si="0"/>
        <v>0.29589000000000004</v>
      </c>
      <c r="F23" s="1700">
        <v>0.12009</v>
      </c>
      <c r="G23" s="1701">
        <v>3.4199999999999999E-3</v>
      </c>
      <c r="H23" s="1700">
        <v>0.12350999999999999</v>
      </c>
    </row>
    <row r="24" spans="2:12" ht="18.75" x14ac:dyDescent="0.25">
      <c r="B24" s="667" t="s">
        <v>1742</v>
      </c>
      <c r="C24" s="1707">
        <f>SUM(C16:C23)</f>
        <v>3.3461500000000002</v>
      </c>
      <c r="D24" s="1712">
        <f>SUM(D16:D23)</f>
        <v>1.6820000000000002E-2</v>
      </c>
      <c r="E24" s="1707">
        <f>SUM(E16:E23)</f>
        <v>3.3629699999999993</v>
      </c>
      <c r="F24" s="1707">
        <v>1.2544</v>
      </c>
      <c r="G24" s="1707">
        <v>2.6239999999999999E-2</v>
      </c>
      <c r="H24" s="1707">
        <v>1.2806400000000002</v>
      </c>
    </row>
    <row r="25" spans="2:12" ht="18.75" x14ac:dyDescent="0.25">
      <c r="B25" s="537" t="s">
        <v>1490</v>
      </c>
      <c r="C25" s="1708">
        <v>3.884E-2</v>
      </c>
      <c r="D25" s="623">
        <v>1.24E-3</v>
      </c>
      <c r="E25" s="1700">
        <f t="shared" si="0"/>
        <v>4.0079999999999998E-2</v>
      </c>
      <c r="F25" s="1708">
        <v>3.9809999999999998E-2</v>
      </c>
      <c r="G25" s="623">
        <v>5.4799999999999996E-3</v>
      </c>
      <c r="H25" s="1708">
        <v>4.5289999999999997E-2</v>
      </c>
    </row>
    <row r="26" spans="2:12" ht="18.75" x14ac:dyDescent="0.25">
      <c r="B26" s="1699" t="s">
        <v>426</v>
      </c>
      <c r="C26" s="1700">
        <v>6.9726699999999999</v>
      </c>
      <c r="D26" s="1701">
        <v>1.1390000000000001E-2</v>
      </c>
      <c r="E26" s="1700">
        <f t="shared" si="0"/>
        <v>6.9840599999999995</v>
      </c>
      <c r="F26" s="1700">
        <v>2.8412899999999999</v>
      </c>
      <c r="G26" s="1701">
        <v>1.847E-2</v>
      </c>
      <c r="H26" s="1700">
        <v>2.8597600000000001</v>
      </c>
    </row>
    <row r="27" spans="2:12" ht="18.75" x14ac:dyDescent="0.25">
      <c r="B27" s="1699" t="s">
        <v>541</v>
      </c>
      <c r="C27" s="1700">
        <v>1.6320399999999999</v>
      </c>
      <c r="D27" s="1701">
        <v>2.7399999999999998E-3</v>
      </c>
      <c r="E27" s="1700">
        <f t="shared" si="0"/>
        <v>1.6347799999999999</v>
      </c>
      <c r="F27" s="1700">
        <v>0.57796000000000003</v>
      </c>
      <c r="G27" s="1701">
        <v>8.6400000000000001E-3</v>
      </c>
      <c r="H27" s="1700">
        <v>0.58660000000000001</v>
      </c>
    </row>
    <row r="28" spans="2:12" ht="18.75" x14ac:dyDescent="0.25">
      <c r="B28" s="1699" t="s">
        <v>631</v>
      </c>
      <c r="C28" s="1700">
        <v>1.9121600000000001</v>
      </c>
      <c r="D28" s="1701">
        <v>5.7400000000000003E-3</v>
      </c>
      <c r="E28" s="1700">
        <f t="shared" si="0"/>
        <v>1.9179000000000002</v>
      </c>
      <c r="F28" s="1700">
        <v>0.84536</v>
      </c>
      <c r="G28" s="1701">
        <v>9.0100000000000006E-3</v>
      </c>
      <c r="H28" s="1700">
        <v>0.85436999999999996</v>
      </c>
    </row>
    <row r="29" spans="2:12" ht="18.75" x14ac:dyDescent="0.25">
      <c r="B29" s="1699" t="s">
        <v>225</v>
      </c>
      <c r="C29" s="1700">
        <v>2.5780699999999999</v>
      </c>
      <c r="D29" s="1701">
        <v>1.1270000000000001E-2</v>
      </c>
      <c r="E29" s="1700">
        <f t="shared" si="0"/>
        <v>2.58934</v>
      </c>
      <c r="F29" s="1700">
        <v>2.2867099999999998</v>
      </c>
      <c r="G29" s="1701">
        <v>4.3319999999999997E-2</v>
      </c>
      <c r="H29" s="1700">
        <v>2.3300299999999998</v>
      </c>
    </row>
    <row r="30" spans="2:12" ht="18.75" x14ac:dyDescent="0.25">
      <c r="B30" s="667" t="s">
        <v>1728</v>
      </c>
      <c r="C30" s="1707">
        <f>SUM(C25:C29)</f>
        <v>13.133780000000002</v>
      </c>
      <c r="D30" s="1712">
        <f>SUM(D25:D29)</f>
        <v>3.2379999999999999E-2</v>
      </c>
      <c r="E30" s="1707">
        <f>SUM(E25:E29)</f>
        <v>13.166159999999998</v>
      </c>
      <c r="F30" s="1707">
        <v>6.5911299999999997</v>
      </c>
      <c r="G30" s="1707">
        <v>8.4919999999999995E-2</v>
      </c>
      <c r="H30" s="1707">
        <v>6.67605</v>
      </c>
    </row>
    <row r="31" spans="2:12" ht="18.75" x14ac:dyDescent="0.25">
      <c r="B31" s="1699" t="s">
        <v>452</v>
      </c>
      <c r="C31" s="1700">
        <v>2.2375400000000001</v>
      </c>
      <c r="D31" s="1701">
        <v>1.0659999999999999E-2</v>
      </c>
      <c r="E31" s="1700">
        <f t="shared" si="0"/>
        <v>2.2482000000000002</v>
      </c>
      <c r="F31" s="1700">
        <v>0.66808999999999996</v>
      </c>
      <c r="G31" s="1701">
        <v>4.2399999999999998E-3</v>
      </c>
      <c r="H31" s="1700">
        <v>0.67232999999999998</v>
      </c>
    </row>
    <row r="32" spans="2:12" ht="37.5" x14ac:dyDescent="0.25">
      <c r="B32" s="1699" t="s">
        <v>1498</v>
      </c>
      <c r="C32" s="1700">
        <v>5.2699999999999997E-2</v>
      </c>
      <c r="D32" s="1701">
        <v>2.9999999999999997E-4</v>
      </c>
      <c r="E32" s="1700">
        <f t="shared" si="0"/>
        <v>5.2999999999999999E-2</v>
      </c>
      <c r="F32" s="1700">
        <v>4.7660000000000001E-2</v>
      </c>
      <c r="G32" s="1701">
        <v>6.0000000000000002E-5</v>
      </c>
      <c r="H32" s="1700">
        <v>4.7719999999999999E-2</v>
      </c>
    </row>
    <row r="33" spans="2:8" ht="18.75" x14ac:dyDescent="0.25">
      <c r="B33" s="1699" t="s">
        <v>466</v>
      </c>
      <c r="C33" s="1700">
        <v>0.11232</v>
      </c>
      <c r="D33" s="1711">
        <v>4.0000000000000003E-5</v>
      </c>
      <c r="E33" s="1700">
        <f t="shared" si="0"/>
        <v>0.11236</v>
      </c>
      <c r="F33" s="1700">
        <v>0.12737999999999999</v>
      </c>
      <c r="G33" s="1701">
        <v>5.0000000000000002E-5</v>
      </c>
      <c r="H33" s="1700">
        <v>0.12742999999999999</v>
      </c>
    </row>
    <row r="34" spans="2:8" ht="18.75" x14ac:dyDescent="0.25">
      <c r="B34" s="1699" t="s">
        <v>822</v>
      </c>
      <c r="C34" s="1700">
        <v>2.4475799999999999</v>
      </c>
      <c r="D34" s="1701">
        <v>2.49E-3</v>
      </c>
      <c r="E34" s="1700">
        <f t="shared" si="0"/>
        <v>2.4500699999999997</v>
      </c>
      <c r="F34" s="1700">
        <v>1.35785</v>
      </c>
      <c r="G34" s="1701">
        <v>7.77E-3</v>
      </c>
      <c r="H34" s="1700">
        <v>1.3656200000000001</v>
      </c>
    </row>
    <row r="35" spans="2:8" ht="18.75" x14ac:dyDescent="0.25">
      <c r="B35" s="1699" t="s">
        <v>578</v>
      </c>
      <c r="C35" s="1700">
        <v>3.3525800000000001</v>
      </c>
      <c r="D35" s="1701">
        <v>1.132E-2</v>
      </c>
      <c r="E35" s="1700">
        <f t="shared" si="0"/>
        <v>3.3639000000000001</v>
      </c>
      <c r="F35" s="1700">
        <v>1.3508899999999999</v>
      </c>
      <c r="G35" s="1701">
        <v>1.35E-2</v>
      </c>
      <c r="H35" s="1700">
        <v>1.36439</v>
      </c>
    </row>
    <row r="36" spans="2:8" ht="18.75" x14ac:dyDescent="0.25">
      <c r="B36" s="1699" t="s">
        <v>606</v>
      </c>
      <c r="C36" s="1700">
        <v>6.5145999999999997</v>
      </c>
      <c r="D36" s="1701">
        <v>1.051E-2</v>
      </c>
      <c r="E36" s="1700">
        <f t="shared" si="0"/>
        <v>6.5251099999999997</v>
      </c>
      <c r="F36" s="1700">
        <v>6.4600600000000004</v>
      </c>
      <c r="G36" s="1701">
        <v>1.443E-2</v>
      </c>
      <c r="H36" s="1700">
        <v>6.4744900000000003</v>
      </c>
    </row>
    <row r="37" spans="2:8" ht="18.75" x14ac:dyDescent="0.25">
      <c r="B37" s="667" t="s">
        <v>1729</v>
      </c>
      <c r="C37" s="1707">
        <f>SUM(C31:C36)</f>
        <v>14.717319999999999</v>
      </c>
      <c r="D37" s="1712">
        <f>SUM(D31:D36)</f>
        <v>3.5319999999999997E-2</v>
      </c>
      <c r="E37" s="1707">
        <f>SUM(E31:E36)</f>
        <v>14.75264</v>
      </c>
      <c r="F37" s="1707">
        <v>10.01193</v>
      </c>
      <c r="G37" s="1707">
        <v>4.0049999999999995E-2</v>
      </c>
      <c r="H37" s="1707">
        <v>10.05198</v>
      </c>
    </row>
    <row r="38" spans="2:8" ht="18.75" x14ac:dyDescent="0.25">
      <c r="B38" s="1699" t="s">
        <v>221</v>
      </c>
      <c r="C38" s="1700">
        <v>3.2068699999999999</v>
      </c>
      <c r="D38" s="1701">
        <v>3.0000000000000001E-3</v>
      </c>
      <c r="E38" s="1700">
        <f t="shared" si="0"/>
        <v>3.20987</v>
      </c>
      <c r="F38" s="1700">
        <v>2.32206</v>
      </c>
      <c r="G38" s="1701">
        <v>7.9100000000000004E-3</v>
      </c>
      <c r="H38" s="1700">
        <v>2.3299699999999999</v>
      </c>
    </row>
    <row r="39" spans="2:8" ht="18.75" x14ac:dyDescent="0.25">
      <c r="B39" s="1699" t="s">
        <v>550</v>
      </c>
      <c r="C39" s="1700">
        <v>4.06881</v>
      </c>
      <c r="D39" s="1701">
        <v>2.1739999999999999E-2</v>
      </c>
      <c r="E39" s="1700">
        <f t="shared" si="0"/>
        <v>4.0905500000000004</v>
      </c>
      <c r="F39" s="1700">
        <v>3.2713199999999998</v>
      </c>
      <c r="G39" s="1701">
        <v>1.8110000000000001E-2</v>
      </c>
      <c r="H39" s="1700">
        <v>3.2894299999999999</v>
      </c>
    </row>
    <row r="40" spans="2:8" ht="18.75" x14ac:dyDescent="0.25">
      <c r="B40" s="1699" t="s">
        <v>568</v>
      </c>
      <c r="C40" s="1700">
        <v>1.44156</v>
      </c>
      <c r="D40" s="1701">
        <v>2.2899999999999999E-3</v>
      </c>
      <c r="E40" s="1700">
        <f t="shared" si="0"/>
        <v>1.4438499999999999</v>
      </c>
      <c r="F40" s="1700">
        <v>1.45513</v>
      </c>
      <c r="G40" s="1701">
        <v>9.0299999999999998E-3</v>
      </c>
      <c r="H40" s="1700">
        <v>1.4641599999999999</v>
      </c>
    </row>
    <row r="41" spans="2:8" ht="18.75" x14ac:dyDescent="0.25">
      <c r="B41" s="1699" t="s">
        <v>1500</v>
      </c>
      <c r="C41" s="1700">
        <v>5.3099999999999996E-3</v>
      </c>
      <c r="D41" s="1701">
        <v>0</v>
      </c>
      <c r="E41" s="1700">
        <f t="shared" si="0"/>
        <v>5.3099999999999996E-3</v>
      </c>
      <c r="F41" s="1700">
        <v>5.8700000000000002E-3</v>
      </c>
      <c r="G41" s="1701">
        <v>1.3999999999999999E-4</v>
      </c>
      <c r="H41" s="1700">
        <v>6.0099999999999997E-3</v>
      </c>
    </row>
    <row r="42" spans="2:8" ht="18.75" x14ac:dyDescent="0.25">
      <c r="B42" s="663" t="s">
        <v>851</v>
      </c>
      <c r="C42" s="1705">
        <v>0.11305999999999999</v>
      </c>
      <c r="D42" s="1706">
        <v>2.4000000000000001E-4</v>
      </c>
      <c r="E42" s="1700">
        <f t="shared" si="0"/>
        <v>0.1133</v>
      </c>
      <c r="F42" s="1705">
        <v>7.2720000000000007E-2</v>
      </c>
      <c r="G42" s="1706">
        <v>8.0000000000000004E-4</v>
      </c>
      <c r="H42" s="1705">
        <v>7.3520000000000002E-2</v>
      </c>
    </row>
    <row r="43" spans="2:8" ht="18.75" x14ac:dyDescent="0.25">
      <c r="B43" s="1699" t="s">
        <v>224</v>
      </c>
      <c r="C43" s="1700">
        <v>5.6595399999999998</v>
      </c>
      <c r="D43" s="1701">
        <v>2.8080000000000001E-2</v>
      </c>
      <c r="E43" s="1700">
        <f t="shared" si="0"/>
        <v>5.6876199999999999</v>
      </c>
      <c r="F43" s="1700">
        <v>3.9506600000000001</v>
      </c>
      <c r="G43" s="1701">
        <v>5.2920000000000002E-2</v>
      </c>
      <c r="H43" s="1700">
        <v>4.0035800000000004</v>
      </c>
    </row>
    <row r="44" spans="2:8" ht="18.75" x14ac:dyDescent="0.25">
      <c r="B44" s="1699" t="s">
        <v>691</v>
      </c>
      <c r="C44" s="1700">
        <v>2.9809199999999998</v>
      </c>
      <c r="D44" s="1701">
        <v>2.7100000000000002E-3</v>
      </c>
      <c r="E44" s="1700">
        <f t="shared" si="0"/>
        <v>2.9836299999999998</v>
      </c>
      <c r="F44" s="1700">
        <v>2.7090100000000001</v>
      </c>
      <c r="G44" s="1701">
        <v>1.2239999999999999E-2</v>
      </c>
      <c r="H44" s="1700">
        <v>2.7212499999999999</v>
      </c>
    </row>
    <row r="45" spans="2:8" ht="18.75" x14ac:dyDescent="0.25">
      <c r="B45" s="667" t="s">
        <v>1730</v>
      </c>
      <c r="C45" s="1707">
        <f>SUM(C38:C44)</f>
        <v>17.47607</v>
      </c>
      <c r="D45" s="1712">
        <f>SUM(D38:D44)</f>
        <v>5.8059999999999994E-2</v>
      </c>
      <c r="E45" s="1707">
        <f>SUM(E38:E44)</f>
        <v>17.534129999999998</v>
      </c>
      <c r="F45" s="1707">
        <v>13.786770000000001</v>
      </c>
      <c r="G45" s="1707">
        <v>0.10115</v>
      </c>
      <c r="H45" s="1707">
        <v>13.887919999999999</v>
      </c>
    </row>
    <row r="46" spans="2:8" ht="18.75" x14ac:dyDescent="0.25">
      <c r="B46" s="632" t="s">
        <v>1029</v>
      </c>
      <c r="C46" s="1707">
        <f>+C45+C37+C30+C15</f>
        <v>63.436980000000005</v>
      </c>
      <c r="D46" s="1707">
        <f>+D45+D37+D30+D15</f>
        <v>0.16313</v>
      </c>
      <c r="E46" s="1707">
        <f>+E45+E37+E30+E15+E24</f>
        <v>66.963079999999991</v>
      </c>
      <c r="F46" s="1707">
        <v>43.271659999999997</v>
      </c>
      <c r="G46" s="1707">
        <v>0.35596</v>
      </c>
      <c r="H46" s="1707">
        <v>43.627620000000007</v>
      </c>
    </row>
    <row r="47" spans="2:8" ht="15.75" customHeight="1" x14ac:dyDescent="0.25">
      <c r="B47" s="3654" t="s">
        <v>2656</v>
      </c>
      <c r="C47" s="3655"/>
      <c r="D47" s="3655"/>
      <c r="E47" s="3655"/>
      <c r="F47" s="3655"/>
      <c r="G47" s="3655"/>
      <c r="H47" s="3656"/>
    </row>
    <row r="48" spans="2:8" ht="15.75" customHeight="1" x14ac:dyDescent="0.3">
      <c r="B48" s="600"/>
      <c r="C48" s="592"/>
      <c r="D48" s="592"/>
      <c r="E48" s="592"/>
      <c r="F48" s="668"/>
      <c r="G48" s="668"/>
      <c r="H48" s="664"/>
    </row>
    <row r="49" spans="2:8" ht="15.75" customHeight="1" x14ac:dyDescent="0.3">
      <c r="B49" s="600"/>
      <c r="C49" s="592"/>
      <c r="D49" s="592"/>
      <c r="E49" s="592"/>
      <c r="F49" s="668"/>
      <c r="G49" s="668"/>
      <c r="H49" s="664"/>
    </row>
    <row r="50" spans="2:8" ht="15.75" customHeight="1" x14ac:dyDescent="0.3">
      <c r="B50" s="600"/>
      <c r="C50" s="592"/>
      <c r="D50" s="592"/>
      <c r="E50" s="592"/>
      <c r="F50" s="668"/>
      <c r="G50" s="668"/>
      <c r="H50" s="664"/>
    </row>
    <row r="51" spans="2:8" ht="15.75" customHeight="1" x14ac:dyDescent="0.3">
      <c r="B51" s="600"/>
      <c r="C51" s="592"/>
      <c r="D51" s="592"/>
      <c r="E51" s="592"/>
      <c r="F51" s="668"/>
      <c r="G51" s="668"/>
      <c r="H51" s="664"/>
    </row>
    <row r="52" spans="2:8" ht="15.75" customHeight="1" x14ac:dyDescent="0.3">
      <c r="B52" s="600"/>
      <c r="C52" s="592"/>
      <c r="D52" s="592"/>
      <c r="E52" s="592"/>
      <c r="F52" s="668"/>
      <c r="G52" s="668"/>
      <c r="H52" s="664"/>
    </row>
    <row r="53" spans="2:8" ht="15.75" customHeight="1" x14ac:dyDescent="0.3">
      <c r="B53" s="600"/>
      <c r="C53" s="592"/>
      <c r="D53" s="592"/>
      <c r="E53" s="592"/>
      <c r="F53" s="668"/>
      <c r="G53" s="668"/>
      <c r="H53" s="664"/>
    </row>
    <row r="54" spans="2:8" ht="15.75" customHeight="1" x14ac:dyDescent="0.3">
      <c r="B54" s="600"/>
      <c r="C54" s="592"/>
      <c r="D54" s="592"/>
      <c r="E54" s="592"/>
      <c r="F54" s="668"/>
      <c r="G54" s="668"/>
      <c r="H54" s="664"/>
    </row>
    <row r="55" spans="2:8" ht="15.75" customHeight="1" x14ac:dyDescent="0.3">
      <c r="B55" s="600"/>
      <c r="C55" s="592"/>
      <c r="D55" s="592"/>
      <c r="E55" s="592"/>
      <c r="F55" s="668"/>
      <c r="G55" s="668"/>
      <c r="H55" s="664"/>
    </row>
    <row r="56" spans="2:8" ht="15.75" customHeight="1" x14ac:dyDescent="0.3">
      <c r="B56" s="600"/>
      <c r="C56" s="592"/>
      <c r="D56" s="592"/>
      <c r="E56" s="592"/>
      <c r="F56" s="668"/>
      <c r="G56" s="668"/>
      <c r="H56" s="664"/>
    </row>
    <row r="57" spans="2:8" ht="15.75" customHeight="1" x14ac:dyDescent="0.3">
      <c r="B57" s="600"/>
      <c r="C57" s="592"/>
      <c r="D57" s="592"/>
      <c r="E57" s="592"/>
      <c r="F57" s="668"/>
      <c r="G57" s="668"/>
      <c r="H57" s="664"/>
    </row>
    <row r="58" spans="2:8" ht="15.75" customHeight="1" x14ac:dyDescent="0.3">
      <c r="B58" s="600"/>
      <c r="C58" s="592"/>
      <c r="D58" s="592"/>
      <c r="E58" s="592"/>
      <c r="F58" s="668"/>
      <c r="G58" s="668"/>
      <c r="H58" s="664"/>
    </row>
    <row r="59" spans="2:8" ht="15.75" customHeight="1" x14ac:dyDescent="0.3">
      <c r="B59" s="600"/>
      <c r="C59" s="592"/>
      <c r="D59" s="592"/>
      <c r="E59" s="592"/>
      <c r="F59" s="668"/>
      <c r="G59" s="668"/>
      <c r="H59" s="664"/>
    </row>
    <row r="60" spans="2:8" ht="15.75" customHeight="1" x14ac:dyDescent="0.3">
      <c r="B60" s="600"/>
      <c r="C60" s="592"/>
      <c r="D60" s="592"/>
      <c r="E60" s="592"/>
      <c r="F60" s="668"/>
      <c r="G60" s="668"/>
      <c r="H60" s="664"/>
    </row>
    <row r="61" spans="2:8" ht="15.75" customHeight="1" x14ac:dyDescent="0.3">
      <c r="B61" s="600"/>
      <c r="C61" s="592"/>
      <c r="D61" s="592"/>
      <c r="E61" s="592"/>
      <c r="F61" s="668"/>
      <c r="G61" s="668"/>
      <c r="H61" s="664"/>
    </row>
    <row r="62" spans="2:8" ht="15.75" customHeight="1" x14ac:dyDescent="0.3">
      <c r="B62" s="600"/>
      <c r="C62" s="592"/>
      <c r="D62" s="592"/>
      <c r="E62" s="592"/>
      <c r="F62" s="668"/>
      <c r="G62" s="668"/>
      <c r="H62" s="664"/>
    </row>
    <row r="63" spans="2:8" ht="15.75" customHeight="1" thickBot="1" x14ac:dyDescent="0.35">
      <c r="B63" s="628"/>
      <c r="C63" s="633"/>
      <c r="D63" s="633"/>
      <c r="E63" s="633"/>
      <c r="F63" s="669"/>
      <c r="G63" s="669"/>
      <c r="H63" s="665"/>
    </row>
    <row r="65" spans="2:4" ht="15.75" customHeight="1" x14ac:dyDescent="0.25">
      <c r="C65" s="390" t="s">
        <v>2479</v>
      </c>
      <c r="D65" s="390" t="s">
        <v>2309</v>
      </c>
    </row>
    <row r="66" spans="2:4" ht="15.75" customHeight="1" x14ac:dyDescent="0.25">
      <c r="B66" s="390" t="s">
        <v>1733</v>
      </c>
      <c r="C66" s="1709">
        <f>+E15/E46</f>
        <v>0.271002767495163</v>
      </c>
      <c r="D66" s="1709">
        <f>+H15/H46</f>
        <v>0.26888998299700967</v>
      </c>
    </row>
    <row r="67" spans="2:4" ht="15.75" customHeight="1" x14ac:dyDescent="0.25">
      <c r="B67" s="390" t="s">
        <v>2655</v>
      </c>
      <c r="C67" s="1709">
        <f>+E24/E46</f>
        <v>5.0221256250459208E-2</v>
      </c>
      <c r="D67" s="1709">
        <f>+H24/H46</f>
        <v>2.935388178406248E-2</v>
      </c>
    </row>
    <row r="68" spans="2:4" ht="15.75" customHeight="1" x14ac:dyDescent="0.25">
      <c r="B68" s="390" t="s">
        <v>1735</v>
      </c>
      <c r="C68" s="1709">
        <f>+E30/E46</f>
        <v>0.19661819617616155</v>
      </c>
      <c r="D68" s="1709">
        <f>+H30/H46</f>
        <v>0.15302347457871868</v>
      </c>
    </row>
    <row r="69" spans="2:4" ht="15.75" customHeight="1" x14ac:dyDescent="0.25">
      <c r="B69" s="390" t="s">
        <v>1736</v>
      </c>
      <c r="C69" s="1709">
        <f>+E37/E46</f>
        <v>0.22031005742268728</v>
      </c>
      <c r="D69" s="1709">
        <f>+H37/H46</f>
        <v>0.23040404220995778</v>
      </c>
    </row>
    <row r="70" spans="2:4" ht="15.75" customHeight="1" x14ac:dyDescent="0.25">
      <c r="B70" s="390" t="s">
        <v>1737</v>
      </c>
      <c r="C70" s="1709">
        <f>+E45/E46</f>
        <v>0.26184772265552897</v>
      </c>
      <c r="D70" s="1709">
        <f>+H45/H46</f>
        <v>0.31832861843025123</v>
      </c>
    </row>
  </sheetData>
  <mergeCells count="6">
    <mergeCell ref="B47:H47"/>
    <mergeCell ref="B1:H1"/>
    <mergeCell ref="B2:H2"/>
    <mergeCell ref="B3:B4"/>
    <mergeCell ref="C3:E3"/>
    <mergeCell ref="F3:H3"/>
  </mergeCells>
  <pageMargins left="0.70866141732283472" right="0.70866141732283472" top="0.74803149606299213" bottom="0.74803149606299213" header="0.31496062992125984" footer="0.31496062992125984"/>
  <pageSetup paperSize="9" scale="57" orientation="portrait" r:id="rId1"/>
  <drawing r:id="rId2"/>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145B7D-739D-492B-9551-C0ADFD7DE33E}">
  <sheetPr>
    <tabColor theme="0"/>
    <pageSetUpPr fitToPage="1"/>
  </sheetPr>
  <dimension ref="A1:O62"/>
  <sheetViews>
    <sheetView showGridLines="0" view="pageLayout" topLeftCell="B40" zoomScale="85" zoomScaleNormal="100" zoomScalePageLayoutView="85" workbookViewId="0">
      <selection activeCell="B81" sqref="B81"/>
    </sheetView>
  </sheetViews>
  <sheetFormatPr defaultColWidth="9.140625" defaultRowHeight="15.75" x14ac:dyDescent="0.25"/>
  <cols>
    <col min="1" max="1" width="9.140625" style="390" hidden="1" customWidth="1"/>
    <col min="2" max="2" width="44.140625" style="390" customWidth="1"/>
    <col min="3" max="3" width="13" style="390" customWidth="1"/>
    <col min="4" max="4" width="12.5703125" style="390" customWidth="1"/>
    <col min="5" max="6" width="12.7109375" style="390" customWidth="1"/>
    <col min="7" max="7" width="13.42578125" style="390" customWidth="1"/>
    <col min="8" max="8" width="11.28515625" style="477" customWidth="1"/>
    <col min="9" max="9" width="10.7109375" style="477" customWidth="1"/>
    <col min="10" max="10" width="10.42578125" style="477" customWidth="1"/>
    <col min="11" max="11" width="13.42578125" style="477" customWidth="1"/>
    <col min="12" max="12" width="8.28515625" style="477" customWidth="1"/>
    <col min="13" max="13" width="23.140625" style="390" customWidth="1"/>
    <col min="14" max="14" width="9.140625" style="390" customWidth="1"/>
    <col min="15" max="16384" width="9.140625" style="390"/>
  </cols>
  <sheetData>
    <row r="1" spans="1:15" ht="17.25" customHeight="1" x14ac:dyDescent="0.25">
      <c r="A1" s="414" t="s">
        <v>296</v>
      </c>
      <c r="B1" s="3670" t="s">
        <v>2657</v>
      </c>
      <c r="C1" s="3671"/>
      <c r="D1" s="3671"/>
      <c r="E1" s="3671"/>
      <c r="F1" s="3671"/>
      <c r="G1" s="3671"/>
      <c r="H1" s="3672"/>
      <c r="I1" s="3672"/>
      <c r="J1" s="3672"/>
      <c r="K1" s="3672"/>
    </row>
    <row r="2" spans="1:15" ht="16.5" x14ac:dyDescent="0.3">
      <c r="B2" s="3673" t="s">
        <v>1700</v>
      </c>
      <c r="C2" s="3674"/>
      <c r="D2" s="3674"/>
      <c r="E2" s="3674"/>
      <c r="F2" s="3674"/>
      <c r="G2" s="3674"/>
      <c r="H2" s="3675"/>
      <c r="I2" s="3675"/>
      <c r="J2" s="3675"/>
      <c r="K2" s="3675"/>
    </row>
    <row r="3" spans="1:15" ht="16.5" x14ac:dyDescent="0.3">
      <c r="B3" s="3668" t="s">
        <v>1477</v>
      </c>
      <c r="C3" s="3676" t="s">
        <v>1632</v>
      </c>
      <c r="D3" s="3676" t="s">
        <v>1001</v>
      </c>
      <c r="E3" s="3676" t="s">
        <v>1002</v>
      </c>
      <c r="F3" s="3676" t="s">
        <v>2312</v>
      </c>
      <c r="G3" s="3676" t="s">
        <v>2539</v>
      </c>
      <c r="H3" s="3678" t="s">
        <v>2658</v>
      </c>
      <c r="I3" s="3678"/>
      <c r="J3" s="3678"/>
      <c r="K3" s="3678"/>
    </row>
    <row r="4" spans="1:15" s="372" customFormat="1" ht="45" customHeight="1" x14ac:dyDescent="0.25">
      <c r="B4" s="3669"/>
      <c r="C4" s="3677"/>
      <c r="D4" s="3677"/>
      <c r="E4" s="3677"/>
      <c r="F4" s="3677"/>
      <c r="G4" s="3677"/>
      <c r="H4" s="1718" t="s">
        <v>1743</v>
      </c>
      <c r="I4" s="1718" t="s">
        <v>1703</v>
      </c>
      <c r="J4" s="1718" t="s">
        <v>1744</v>
      </c>
      <c r="K4" s="1718" t="s">
        <v>1745</v>
      </c>
    </row>
    <row r="5" spans="1:15" x14ac:dyDescent="0.25">
      <c r="B5" s="402" t="s">
        <v>1484</v>
      </c>
      <c r="C5" s="947">
        <v>26</v>
      </c>
      <c r="D5" s="947">
        <v>26</v>
      </c>
      <c r="E5" s="947">
        <v>26</v>
      </c>
      <c r="F5" s="947">
        <v>26</v>
      </c>
      <c r="G5" s="1659">
        <v>26</v>
      </c>
      <c r="H5" s="947">
        <v>26</v>
      </c>
      <c r="I5" s="947">
        <v>0</v>
      </c>
      <c r="J5" s="947">
        <v>0</v>
      </c>
      <c r="K5" s="947">
        <v>0</v>
      </c>
    </row>
    <row r="6" spans="1:15" x14ac:dyDescent="0.25">
      <c r="B6" s="402" t="s">
        <v>1485</v>
      </c>
      <c r="C6" s="947">
        <v>319</v>
      </c>
      <c r="D6" s="947">
        <v>317</v>
      </c>
      <c r="E6" s="947">
        <v>317</v>
      </c>
      <c r="F6" s="947">
        <v>318</v>
      </c>
      <c r="G6" s="1659">
        <v>318</v>
      </c>
      <c r="H6" s="947">
        <v>318</v>
      </c>
      <c r="I6" s="947">
        <v>0</v>
      </c>
      <c r="J6" s="947">
        <v>0</v>
      </c>
      <c r="K6" s="947">
        <v>0</v>
      </c>
    </row>
    <row r="7" spans="1:15" x14ac:dyDescent="0.25">
      <c r="B7" s="402" t="s">
        <v>507</v>
      </c>
      <c r="C7" s="947">
        <v>625</v>
      </c>
      <c r="D7" s="947">
        <v>624</v>
      </c>
      <c r="E7" s="947">
        <v>626</v>
      </c>
      <c r="F7" s="947">
        <v>627</v>
      </c>
      <c r="G7" s="1659">
        <v>627</v>
      </c>
      <c r="H7" s="947">
        <v>282</v>
      </c>
      <c r="I7" s="947">
        <v>103</v>
      </c>
      <c r="J7" s="947">
        <v>233</v>
      </c>
      <c r="K7" s="947">
        <v>9</v>
      </c>
    </row>
    <row r="8" spans="1:15" x14ac:dyDescent="0.25">
      <c r="B8" s="402" t="s">
        <v>538</v>
      </c>
      <c r="C8" s="947">
        <v>207</v>
      </c>
      <c r="D8" s="947">
        <v>207</v>
      </c>
      <c r="E8" s="947">
        <v>209</v>
      </c>
      <c r="F8" s="947">
        <v>210</v>
      </c>
      <c r="G8" s="1659">
        <v>211</v>
      </c>
      <c r="H8" s="947">
        <v>69</v>
      </c>
      <c r="I8" s="947">
        <v>14</v>
      </c>
      <c r="J8" s="947">
        <v>91</v>
      </c>
      <c r="K8" s="947">
        <v>37</v>
      </c>
    </row>
    <row r="9" spans="1:15" x14ac:dyDescent="0.25">
      <c r="B9" s="402" t="s">
        <v>1521</v>
      </c>
      <c r="C9" s="947">
        <v>291</v>
      </c>
      <c r="D9" s="947">
        <v>270</v>
      </c>
      <c r="E9" s="947">
        <v>273</v>
      </c>
      <c r="F9" s="947">
        <v>275</v>
      </c>
      <c r="G9" s="1659">
        <v>275</v>
      </c>
      <c r="H9" s="947">
        <v>126</v>
      </c>
      <c r="I9" s="947">
        <v>34</v>
      </c>
      <c r="J9" s="947">
        <v>75</v>
      </c>
      <c r="K9" s="947">
        <v>40</v>
      </c>
    </row>
    <row r="10" spans="1:15" x14ac:dyDescent="0.25">
      <c r="B10" s="402" t="s">
        <v>1488</v>
      </c>
      <c r="C10" s="947" t="s">
        <v>1106</v>
      </c>
      <c r="D10" s="947">
        <v>24</v>
      </c>
      <c r="E10" s="947">
        <v>24</v>
      </c>
      <c r="F10" s="947">
        <v>24</v>
      </c>
      <c r="G10" s="1659">
        <v>25</v>
      </c>
      <c r="H10" s="947">
        <v>0</v>
      </c>
      <c r="I10" s="947">
        <v>13</v>
      </c>
      <c r="J10" s="947">
        <v>3</v>
      </c>
      <c r="K10" s="947">
        <v>9</v>
      </c>
    </row>
    <row r="11" spans="1:15" x14ac:dyDescent="0.25">
      <c r="B11" s="402" t="s">
        <v>645</v>
      </c>
      <c r="C11" s="947">
        <v>861</v>
      </c>
      <c r="D11" s="947">
        <v>858</v>
      </c>
      <c r="E11" s="947">
        <v>860</v>
      </c>
      <c r="F11" s="947">
        <v>863</v>
      </c>
      <c r="G11" s="1659">
        <v>863</v>
      </c>
      <c r="H11" s="947">
        <v>334</v>
      </c>
      <c r="I11" s="947">
        <v>258</v>
      </c>
      <c r="J11" s="947">
        <v>250</v>
      </c>
      <c r="K11" s="947">
        <v>21</v>
      </c>
    </row>
    <row r="12" spans="1:15" x14ac:dyDescent="0.25">
      <c r="B12" s="402" t="s">
        <v>223</v>
      </c>
      <c r="C12" s="947">
        <v>1387</v>
      </c>
      <c r="D12" s="947">
        <v>1387</v>
      </c>
      <c r="E12" s="947">
        <v>1384</v>
      </c>
      <c r="F12" s="947">
        <v>1385</v>
      </c>
      <c r="G12" s="1659">
        <v>1389</v>
      </c>
      <c r="H12" s="947">
        <v>434</v>
      </c>
      <c r="I12" s="947">
        <v>164</v>
      </c>
      <c r="J12" s="947">
        <v>656</v>
      </c>
      <c r="K12" s="947">
        <v>135</v>
      </c>
    </row>
    <row r="13" spans="1:15" x14ac:dyDescent="0.25">
      <c r="B13" s="402" t="s">
        <v>709</v>
      </c>
      <c r="C13" s="947">
        <v>4134</v>
      </c>
      <c r="D13" s="947">
        <v>4142</v>
      </c>
      <c r="E13" s="947">
        <v>4142</v>
      </c>
      <c r="F13" s="947">
        <v>4145</v>
      </c>
      <c r="G13" s="1659">
        <v>4144</v>
      </c>
      <c r="H13" s="947">
        <v>1005</v>
      </c>
      <c r="I13" s="947">
        <v>709</v>
      </c>
      <c r="J13" s="947">
        <v>2308</v>
      </c>
      <c r="K13" s="947">
        <v>122</v>
      </c>
      <c r="M13" s="390" t="s">
        <v>1733</v>
      </c>
      <c r="N13" s="390">
        <v>8194</v>
      </c>
      <c r="O13" s="1709">
        <f>+N13/25607</f>
        <v>0.3199906275627758</v>
      </c>
    </row>
    <row r="14" spans="1:15" x14ac:dyDescent="0.25">
      <c r="B14" s="402" t="s">
        <v>757</v>
      </c>
      <c r="C14" s="947">
        <v>315</v>
      </c>
      <c r="D14" s="947">
        <v>316</v>
      </c>
      <c r="E14" s="947">
        <v>318</v>
      </c>
      <c r="F14" s="947">
        <v>317</v>
      </c>
      <c r="G14" s="1659">
        <v>316</v>
      </c>
      <c r="H14" s="947">
        <v>113</v>
      </c>
      <c r="I14" s="947">
        <v>104</v>
      </c>
      <c r="J14" s="947">
        <v>59</v>
      </c>
      <c r="K14" s="947">
        <v>40</v>
      </c>
      <c r="M14" s="390" t="s">
        <v>2655</v>
      </c>
      <c r="N14" s="390">
        <v>1120</v>
      </c>
      <c r="O14" s="1709">
        <f>+N14/25607</f>
        <v>4.3738040379583711E-2</v>
      </c>
    </row>
    <row r="15" spans="1:15" ht="16.5" x14ac:dyDescent="0.25">
      <c r="B15" s="666" t="s">
        <v>1726</v>
      </c>
      <c r="C15" s="1664">
        <v>8165</v>
      </c>
      <c r="D15" s="1664">
        <v>8171</v>
      </c>
      <c r="E15" s="1664">
        <v>8179</v>
      </c>
      <c r="F15" s="1664">
        <v>8190</v>
      </c>
      <c r="G15" s="1664">
        <v>8194</v>
      </c>
      <c r="H15" s="1664">
        <v>2707</v>
      </c>
      <c r="I15" s="1664">
        <v>1399</v>
      </c>
      <c r="J15" s="1664">
        <v>3675</v>
      </c>
      <c r="K15" s="1664">
        <v>413</v>
      </c>
      <c r="M15" s="390" t="s">
        <v>1735</v>
      </c>
      <c r="N15" s="390">
        <v>5211</v>
      </c>
      <c r="O15" s="1709">
        <f>+N15/25607</f>
        <v>0.20349904323036669</v>
      </c>
    </row>
    <row r="16" spans="1:15" x14ac:dyDescent="0.25">
      <c r="B16" s="402" t="s">
        <v>220</v>
      </c>
      <c r="C16" s="947">
        <v>85</v>
      </c>
      <c r="D16" s="947">
        <v>85</v>
      </c>
      <c r="E16" s="947">
        <v>85</v>
      </c>
      <c r="F16" s="947">
        <v>85</v>
      </c>
      <c r="G16" s="1659">
        <v>85</v>
      </c>
      <c r="H16" s="947">
        <v>6</v>
      </c>
      <c r="I16" s="947">
        <v>6</v>
      </c>
      <c r="J16" s="947">
        <v>33</v>
      </c>
      <c r="K16" s="947">
        <v>40</v>
      </c>
      <c r="M16" s="390" t="s">
        <v>1736</v>
      </c>
      <c r="N16" s="390">
        <v>5435</v>
      </c>
      <c r="O16" s="1709">
        <f>+N16/25607</f>
        <v>0.21224665130628345</v>
      </c>
    </row>
    <row r="17" spans="2:15" x14ac:dyDescent="0.25">
      <c r="B17" s="402" t="s">
        <v>331</v>
      </c>
      <c r="C17" s="947">
        <v>596</v>
      </c>
      <c r="D17" s="947">
        <v>596</v>
      </c>
      <c r="E17" s="947">
        <v>597</v>
      </c>
      <c r="F17" s="947">
        <v>601</v>
      </c>
      <c r="G17" s="1659">
        <v>604</v>
      </c>
      <c r="H17" s="947">
        <v>129</v>
      </c>
      <c r="I17" s="947">
        <v>101</v>
      </c>
      <c r="J17" s="947">
        <v>308</v>
      </c>
      <c r="K17" s="947">
        <v>66</v>
      </c>
      <c r="M17" s="390" t="s">
        <v>1737</v>
      </c>
      <c r="N17" s="390">
        <v>5647</v>
      </c>
      <c r="O17" s="1709">
        <f>+N17/25607</f>
        <v>0.22052563752099036</v>
      </c>
    </row>
    <row r="18" spans="2:15" x14ac:dyDescent="0.25">
      <c r="B18" s="402" t="s">
        <v>1492</v>
      </c>
      <c r="C18" s="947">
        <v>101</v>
      </c>
      <c r="D18" s="947">
        <v>102</v>
      </c>
      <c r="E18" s="947">
        <v>102</v>
      </c>
      <c r="F18" s="947">
        <v>103</v>
      </c>
      <c r="G18" s="1659">
        <v>104</v>
      </c>
      <c r="H18" s="947">
        <v>15</v>
      </c>
      <c r="I18" s="947">
        <v>13</v>
      </c>
      <c r="J18" s="947">
        <v>36</v>
      </c>
      <c r="K18" s="947">
        <v>40</v>
      </c>
    </row>
    <row r="19" spans="2:15" x14ac:dyDescent="0.25">
      <c r="B19" s="402" t="s">
        <v>1493</v>
      </c>
      <c r="C19" s="947">
        <v>64</v>
      </c>
      <c r="D19" s="947">
        <v>63</v>
      </c>
      <c r="E19" s="947">
        <v>65</v>
      </c>
      <c r="F19" s="947">
        <v>66</v>
      </c>
      <c r="G19" s="1659">
        <v>66</v>
      </c>
      <c r="H19" s="947">
        <v>21</v>
      </c>
      <c r="I19" s="947">
        <v>9</v>
      </c>
      <c r="J19" s="947">
        <v>19</v>
      </c>
      <c r="K19" s="947">
        <v>17</v>
      </c>
    </row>
    <row r="20" spans="2:15" x14ac:dyDescent="0.25">
      <c r="B20" s="402" t="s">
        <v>1494</v>
      </c>
      <c r="C20" s="947">
        <v>59</v>
      </c>
      <c r="D20" s="947">
        <v>59</v>
      </c>
      <c r="E20" s="947">
        <v>59</v>
      </c>
      <c r="F20" s="947">
        <v>59</v>
      </c>
      <c r="G20" s="1659">
        <v>59</v>
      </c>
      <c r="H20" s="947">
        <v>11</v>
      </c>
      <c r="I20" s="947">
        <v>6</v>
      </c>
      <c r="J20" s="947">
        <v>26</v>
      </c>
      <c r="K20" s="947">
        <v>16</v>
      </c>
    </row>
    <row r="21" spans="2:15" x14ac:dyDescent="0.25">
      <c r="B21" s="402" t="s">
        <v>1495</v>
      </c>
      <c r="C21" s="947">
        <v>83</v>
      </c>
      <c r="D21" s="947">
        <v>83</v>
      </c>
      <c r="E21" s="947">
        <v>83</v>
      </c>
      <c r="F21" s="947">
        <v>83</v>
      </c>
      <c r="G21" s="1659">
        <v>84</v>
      </c>
      <c r="H21" s="947">
        <v>15</v>
      </c>
      <c r="I21" s="947">
        <v>11</v>
      </c>
      <c r="J21" s="947">
        <v>17</v>
      </c>
      <c r="K21" s="947">
        <v>41</v>
      </c>
    </row>
    <row r="22" spans="2:15" ht="16.5" x14ac:dyDescent="0.25">
      <c r="B22" s="402" t="s">
        <v>1496</v>
      </c>
      <c r="C22" s="947">
        <v>27</v>
      </c>
      <c r="D22" s="947">
        <v>28</v>
      </c>
      <c r="E22" s="947">
        <v>29</v>
      </c>
      <c r="F22" s="947">
        <v>29</v>
      </c>
      <c r="G22" s="1659">
        <v>29</v>
      </c>
      <c r="H22" s="947">
        <v>9</v>
      </c>
      <c r="I22" s="947">
        <v>1</v>
      </c>
      <c r="J22" s="947">
        <v>9</v>
      </c>
      <c r="K22" s="947">
        <v>10</v>
      </c>
      <c r="M22" s="482" t="s">
        <v>1743</v>
      </c>
      <c r="N22" s="390">
        <v>7924</v>
      </c>
      <c r="O22" s="1709">
        <f>+N22/25607</f>
        <v>0.30944663568555475</v>
      </c>
    </row>
    <row r="23" spans="2:15" ht="16.5" x14ac:dyDescent="0.25">
      <c r="B23" s="402" t="s">
        <v>390</v>
      </c>
      <c r="C23" s="947">
        <v>80</v>
      </c>
      <c r="D23" s="947">
        <v>80</v>
      </c>
      <c r="E23" s="947">
        <v>83</v>
      </c>
      <c r="F23" s="947">
        <v>87</v>
      </c>
      <c r="G23" s="1659">
        <v>89</v>
      </c>
      <c r="H23" s="947">
        <v>18</v>
      </c>
      <c r="I23" s="947">
        <v>8</v>
      </c>
      <c r="J23" s="947">
        <v>49</v>
      </c>
      <c r="K23" s="947">
        <v>14</v>
      </c>
      <c r="M23" s="482" t="s">
        <v>1703</v>
      </c>
      <c r="N23" s="390">
        <v>3789</v>
      </c>
      <c r="O23" s="1709">
        <f>+N23/25607</f>
        <v>0.1479673526770024</v>
      </c>
    </row>
    <row r="24" spans="2:15" ht="16.5" x14ac:dyDescent="0.25">
      <c r="B24" s="666" t="s">
        <v>1742</v>
      </c>
      <c r="C24" s="1664">
        <v>1095</v>
      </c>
      <c r="D24" s="1664">
        <v>1096</v>
      </c>
      <c r="E24" s="1664">
        <v>1103</v>
      </c>
      <c r="F24" s="1664">
        <v>1113</v>
      </c>
      <c r="G24" s="1664">
        <v>1120</v>
      </c>
      <c r="H24" s="1664">
        <v>224</v>
      </c>
      <c r="I24" s="1664">
        <v>155</v>
      </c>
      <c r="J24" s="1664">
        <v>497</v>
      </c>
      <c r="K24" s="1664">
        <v>244</v>
      </c>
      <c r="M24" s="482" t="s">
        <v>1744</v>
      </c>
      <c r="N24" s="390">
        <v>11841</v>
      </c>
      <c r="O24" s="1709">
        <f>+N24/25607</f>
        <v>0.46241262154879526</v>
      </c>
    </row>
    <row r="25" spans="2:15" ht="31.5" customHeight="1" x14ac:dyDescent="0.25">
      <c r="B25" s="402" t="s">
        <v>1490</v>
      </c>
      <c r="C25" s="947">
        <v>9</v>
      </c>
      <c r="D25" s="947">
        <v>9</v>
      </c>
      <c r="E25" s="947">
        <v>10</v>
      </c>
      <c r="F25" s="947">
        <v>10</v>
      </c>
      <c r="G25" s="1659">
        <v>10</v>
      </c>
      <c r="H25" s="947">
        <v>0</v>
      </c>
      <c r="I25" s="947">
        <v>4</v>
      </c>
      <c r="J25" s="947">
        <v>5</v>
      </c>
      <c r="K25" s="947">
        <v>1</v>
      </c>
      <c r="M25" s="482" t="s">
        <v>1745</v>
      </c>
      <c r="N25" s="390">
        <v>2053</v>
      </c>
      <c r="O25" s="1709">
        <f>+N25/25607</f>
        <v>8.0173390088647642E-2</v>
      </c>
    </row>
    <row r="26" spans="2:15" x14ac:dyDescent="0.25">
      <c r="B26" s="402" t="s">
        <v>426</v>
      </c>
      <c r="C26" s="947">
        <v>2009</v>
      </c>
      <c r="D26" s="947">
        <v>2024</v>
      </c>
      <c r="E26" s="947">
        <v>2033</v>
      </c>
      <c r="F26" s="947">
        <v>2037</v>
      </c>
      <c r="G26" s="1659">
        <v>2033</v>
      </c>
      <c r="H26" s="947">
        <v>240</v>
      </c>
      <c r="I26" s="947">
        <v>252</v>
      </c>
      <c r="J26" s="947">
        <v>1503</v>
      </c>
      <c r="K26" s="947">
        <v>38</v>
      </c>
    </row>
    <row r="27" spans="2:15" x14ac:dyDescent="0.25">
      <c r="B27" s="402" t="s">
        <v>541</v>
      </c>
      <c r="C27" s="947">
        <v>582</v>
      </c>
      <c r="D27" s="947">
        <v>585</v>
      </c>
      <c r="E27" s="947">
        <v>587</v>
      </c>
      <c r="F27" s="947">
        <v>589</v>
      </c>
      <c r="G27" s="1659">
        <v>594</v>
      </c>
      <c r="H27" s="947">
        <v>163</v>
      </c>
      <c r="I27" s="947">
        <v>52</v>
      </c>
      <c r="J27" s="947">
        <v>359</v>
      </c>
      <c r="K27" s="947">
        <v>20</v>
      </c>
    </row>
    <row r="28" spans="2:15" x14ac:dyDescent="0.25">
      <c r="B28" s="402" t="s">
        <v>631</v>
      </c>
      <c r="C28" s="947">
        <v>960</v>
      </c>
      <c r="D28" s="947">
        <v>963</v>
      </c>
      <c r="E28" s="947">
        <v>965</v>
      </c>
      <c r="F28" s="947">
        <v>965</v>
      </c>
      <c r="G28" s="1659">
        <v>965</v>
      </c>
      <c r="H28" s="947">
        <v>173</v>
      </c>
      <c r="I28" s="947">
        <v>100</v>
      </c>
      <c r="J28" s="947">
        <v>578</v>
      </c>
      <c r="K28" s="947">
        <v>114</v>
      </c>
    </row>
    <row r="29" spans="2:15" x14ac:dyDescent="0.25">
      <c r="B29" s="402" t="s">
        <v>225</v>
      </c>
      <c r="C29" s="947">
        <v>1560</v>
      </c>
      <c r="D29" s="947">
        <v>1586</v>
      </c>
      <c r="E29" s="947">
        <v>1591</v>
      </c>
      <c r="F29" s="947">
        <v>1603</v>
      </c>
      <c r="G29" s="1659">
        <v>1609</v>
      </c>
      <c r="H29" s="947">
        <v>405</v>
      </c>
      <c r="I29" s="947">
        <v>164</v>
      </c>
      <c r="J29" s="947">
        <v>966</v>
      </c>
      <c r="K29" s="947">
        <v>74</v>
      </c>
    </row>
    <row r="30" spans="2:15" ht="16.5" x14ac:dyDescent="0.25">
      <c r="B30" s="666" t="s">
        <v>1728</v>
      </c>
      <c r="C30" s="1664">
        <v>5120</v>
      </c>
      <c r="D30" s="1664">
        <v>5167</v>
      </c>
      <c r="E30" s="1664">
        <v>5186</v>
      </c>
      <c r="F30" s="1664">
        <v>5204</v>
      </c>
      <c r="G30" s="1664">
        <v>5211</v>
      </c>
      <c r="H30" s="1664">
        <v>981</v>
      </c>
      <c r="I30" s="1664">
        <v>572</v>
      </c>
      <c r="J30" s="1664">
        <v>3411</v>
      </c>
      <c r="K30" s="1664">
        <v>247</v>
      </c>
    </row>
    <row r="31" spans="2:15" x14ac:dyDescent="0.25">
      <c r="B31" s="402" t="s">
        <v>452</v>
      </c>
      <c r="C31" s="947">
        <v>534</v>
      </c>
      <c r="D31" s="947">
        <v>534</v>
      </c>
      <c r="E31" s="947">
        <v>534</v>
      </c>
      <c r="F31" s="947">
        <v>534</v>
      </c>
      <c r="G31" s="1659">
        <v>537</v>
      </c>
      <c r="H31" s="947">
        <v>105</v>
      </c>
      <c r="I31" s="947">
        <v>75</v>
      </c>
      <c r="J31" s="947">
        <v>173</v>
      </c>
      <c r="K31" s="947">
        <v>184</v>
      </c>
    </row>
    <row r="32" spans="2:15" x14ac:dyDescent="0.25">
      <c r="B32" s="402" t="s">
        <v>1498</v>
      </c>
      <c r="C32" s="947">
        <v>6</v>
      </c>
      <c r="D32" s="947">
        <v>6</v>
      </c>
      <c r="E32" s="947">
        <v>7</v>
      </c>
      <c r="F32" s="947">
        <v>7</v>
      </c>
      <c r="G32" s="1659">
        <v>8</v>
      </c>
      <c r="H32" s="947">
        <v>5</v>
      </c>
      <c r="I32" s="947">
        <v>1</v>
      </c>
      <c r="J32" s="947">
        <v>2</v>
      </c>
      <c r="K32" s="947">
        <v>0</v>
      </c>
    </row>
    <row r="33" spans="2:11" x14ac:dyDescent="0.25">
      <c r="B33" s="402" t="s">
        <v>466</v>
      </c>
      <c r="C33" s="1713">
        <v>55</v>
      </c>
      <c r="D33" s="1713">
        <v>56</v>
      </c>
      <c r="E33" s="1713">
        <v>55</v>
      </c>
      <c r="F33" s="1713">
        <v>55</v>
      </c>
      <c r="G33" s="1659">
        <v>55</v>
      </c>
      <c r="H33" s="1713">
        <v>44</v>
      </c>
      <c r="I33" s="1713">
        <v>4</v>
      </c>
      <c r="J33" s="1713">
        <v>5</v>
      </c>
      <c r="K33" s="1713">
        <v>2</v>
      </c>
    </row>
    <row r="34" spans="2:11" x14ac:dyDescent="0.25">
      <c r="B34" s="402" t="s">
        <v>822</v>
      </c>
      <c r="C34" s="1713">
        <v>1020</v>
      </c>
      <c r="D34" s="1713">
        <v>1038</v>
      </c>
      <c r="E34" s="1713">
        <v>1041</v>
      </c>
      <c r="F34" s="1713">
        <v>1041</v>
      </c>
      <c r="G34" s="1659">
        <v>1043</v>
      </c>
      <c r="H34" s="1713">
        <v>421</v>
      </c>
      <c r="I34" s="1713">
        <v>120</v>
      </c>
      <c r="J34" s="1713">
        <v>489</v>
      </c>
      <c r="K34" s="1713">
        <v>13</v>
      </c>
    </row>
    <row r="35" spans="2:11" x14ac:dyDescent="0.25">
      <c r="B35" s="402" t="s">
        <v>578</v>
      </c>
      <c r="C35" s="1713">
        <v>1543</v>
      </c>
      <c r="D35" s="1713">
        <v>1551</v>
      </c>
      <c r="E35" s="1713">
        <v>1551</v>
      </c>
      <c r="F35" s="1713">
        <v>1552</v>
      </c>
      <c r="G35" s="1659">
        <v>1551</v>
      </c>
      <c r="H35" s="1713">
        <v>471</v>
      </c>
      <c r="I35" s="1713">
        <v>210</v>
      </c>
      <c r="J35" s="1713">
        <v>485</v>
      </c>
      <c r="K35" s="1713">
        <v>385</v>
      </c>
    </row>
    <row r="36" spans="2:11" x14ac:dyDescent="0.25">
      <c r="B36" s="402" t="s">
        <v>606</v>
      </c>
      <c r="C36" s="1713">
        <v>2219</v>
      </c>
      <c r="D36" s="1713">
        <v>2231</v>
      </c>
      <c r="E36" s="1713">
        <v>2237</v>
      </c>
      <c r="F36" s="1713">
        <v>2240</v>
      </c>
      <c r="G36" s="1659">
        <v>2241</v>
      </c>
      <c r="H36" s="1713">
        <v>1010</v>
      </c>
      <c r="I36" s="1713">
        <v>192</v>
      </c>
      <c r="J36" s="1713">
        <v>846</v>
      </c>
      <c r="K36" s="1713">
        <v>193</v>
      </c>
    </row>
    <row r="37" spans="2:11" ht="16.5" x14ac:dyDescent="0.25">
      <c r="B37" s="666" t="s">
        <v>1729</v>
      </c>
      <c r="C37" s="1664">
        <v>5377</v>
      </c>
      <c r="D37" s="1664">
        <v>5416</v>
      </c>
      <c r="E37" s="1664">
        <v>5425</v>
      </c>
      <c r="F37" s="1664">
        <v>5429</v>
      </c>
      <c r="G37" s="1664">
        <v>5435</v>
      </c>
      <c r="H37" s="1664">
        <v>2056</v>
      </c>
      <c r="I37" s="1664">
        <v>602</v>
      </c>
      <c r="J37" s="1664">
        <v>2000</v>
      </c>
      <c r="K37" s="1664">
        <v>777</v>
      </c>
    </row>
    <row r="38" spans="2:11" x14ac:dyDescent="0.25">
      <c r="B38" s="402" t="s">
        <v>221</v>
      </c>
      <c r="C38" s="947">
        <v>1083</v>
      </c>
      <c r="D38" s="947">
        <v>1093</v>
      </c>
      <c r="E38" s="947">
        <v>1144</v>
      </c>
      <c r="F38" s="947">
        <v>1157</v>
      </c>
      <c r="G38" s="1659">
        <v>1164</v>
      </c>
      <c r="H38" s="947">
        <v>324</v>
      </c>
      <c r="I38" s="947">
        <v>303</v>
      </c>
      <c r="J38" s="947">
        <v>430</v>
      </c>
      <c r="K38" s="947">
        <v>107</v>
      </c>
    </row>
    <row r="39" spans="2:11" x14ac:dyDescent="0.25">
      <c r="B39" s="402" t="s">
        <v>550</v>
      </c>
      <c r="C39" s="947">
        <v>1270</v>
      </c>
      <c r="D39" s="947">
        <v>1271</v>
      </c>
      <c r="E39" s="947">
        <v>1271</v>
      </c>
      <c r="F39" s="947">
        <v>1277</v>
      </c>
      <c r="G39" s="1659">
        <v>1279</v>
      </c>
      <c r="H39" s="947">
        <v>535</v>
      </c>
      <c r="I39" s="947">
        <v>139</v>
      </c>
      <c r="J39" s="947">
        <v>552</v>
      </c>
      <c r="K39" s="947">
        <v>53</v>
      </c>
    </row>
    <row r="40" spans="2:11" x14ac:dyDescent="0.25">
      <c r="B40" s="402" t="s">
        <v>568</v>
      </c>
      <c r="C40" s="947">
        <v>698</v>
      </c>
      <c r="D40" s="947">
        <v>696</v>
      </c>
      <c r="E40" s="947">
        <v>698</v>
      </c>
      <c r="F40" s="947">
        <v>704</v>
      </c>
      <c r="G40" s="1659">
        <v>704</v>
      </c>
      <c r="H40" s="947">
        <v>224</v>
      </c>
      <c r="I40" s="947">
        <v>137</v>
      </c>
      <c r="J40" s="947">
        <v>321</v>
      </c>
      <c r="K40" s="947">
        <v>22</v>
      </c>
    </row>
    <row r="41" spans="2:11" x14ac:dyDescent="0.25">
      <c r="B41" s="402" t="s">
        <v>1500</v>
      </c>
      <c r="C41" s="947">
        <v>1</v>
      </c>
      <c r="D41" s="947">
        <v>1</v>
      </c>
      <c r="E41" s="947">
        <v>1</v>
      </c>
      <c r="F41" s="947">
        <v>1</v>
      </c>
      <c r="G41" s="1659">
        <v>1</v>
      </c>
      <c r="H41" s="947">
        <v>1</v>
      </c>
      <c r="I41" s="947">
        <v>0</v>
      </c>
      <c r="J41" s="947">
        <v>0</v>
      </c>
      <c r="K41" s="947">
        <v>0</v>
      </c>
    </row>
    <row r="42" spans="2:11" x14ac:dyDescent="0.25">
      <c r="B42" s="402" t="s">
        <v>851</v>
      </c>
      <c r="C42" s="947">
        <v>27</v>
      </c>
      <c r="D42" s="947">
        <v>29</v>
      </c>
      <c r="E42" s="947">
        <v>29</v>
      </c>
      <c r="F42" s="947">
        <v>29</v>
      </c>
      <c r="G42" s="1659">
        <v>30</v>
      </c>
      <c r="H42" s="947">
        <v>15</v>
      </c>
      <c r="I42" s="947">
        <v>12</v>
      </c>
      <c r="J42" s="947">
        <v>3</v>
      </c>
      <c r="K42" s="947">
        <v>0</v>
      </c>
    </row>
    <row r="43" spans="2:11" x14ac:dyDescent="0.25">
      <c r="B43" s="402" t="s">
        <v>224</v>
      </c>
      <c r="C43" s="947">
        <v>1642</v>
      </c>
      <c r="D43" s="947">
        <v>1645</v>
      </c>
      <c r="E43" s="947">
        <v>1643</v>
      </c>
      <c r="F43" s="947">
        <v>1652</v>
      </c>
      <c r="G43" s="1659">
        <v>1658</v>
      </c>
      <c r="H43" s="947">
        <v>566</v>
      </c>
      <c r="I43" s="947">
        <v>365</v>
      </c>
      <c r="J43" s="947">
        <v>617</v>
      </c>
      <c r="K43" s="947">
        <v>110</v>
      </c>
    </row>
    <row r="44" spans="2:11" x14ac:dyDescent="0.25">
      <c r="B44" s="402" t="s">
        <v>691</v>
      </c>
      <c r="C44" s="947">
        <v>791</v>
      </c>
      <c r="D44" s="947">
        <v>800</v>
      </c>
      <c r="E44" s="947">
        <v>802</v>
      </c>
      <c r="F44" s="947">
        <v>810</v>
      </c>
      <c r="G44" s="1659">
        <v>811</v>
      </c>
      <c r="H44" s="947">
        <v>291</v>
      </c>
      <c r="I44" s="947">
        <v>105</v>
      </c>
      <c r="J44" s="947">
        <v>335</v>
      </c>
      <c r="K44" s="947">
        <v>80</v>
      </c>
    </row>
    <row r="45" spans="2:11" ht="16.5" x14ac:dyDescent="0.25">
      <c r="B45" s="666" t="s">
        <v>1730</v>
      </c>
      <c r="C45" s="1664">
        <v>5512</v>
      </c>
      <c r="D45" s="1664">
        <v>5535</v>
      </c>
      <c r="E45" s="1664">
        <v>5588</v>
      </c>
      <c r="F45" s="1664">
        <v>5630</v>
      </c>
      <c r="G45" s="1664">
        <v>5647</v>
      </c>
      <c r="H45" s="1664">
        <v>1956</v>
      </c>
      <c r="I45" s="1664">
        <v>1061</v>
      </c>
      <c r="J45" s="1664">
        <v>2258</v>
      </c>
      <c r="K45" s="1664">
        <v>372</v>
      </c>
    </row>
    <row r="46" spans="2:11" ht="18.75" customHeight="1" x14ac:dyDescent="0.25">
      <c r="B46" s="401" t="s">
        <v>1029</v>
      </c>
      <c r="C46" s="1664">
        <v>25269</v>
      </c>
      <c r="D46" s="1664">
        <v>25385</v>
      </c>
      <c r="E46" s="1664">
        <v>25481</v>
      </c>
      <c r="F46" s="1664">
        <v>25566</v>
      </c>
      <c r="G46" s="1664">
        <v>25607</v>
      </c>
      <c r="H46" s="1664">
        <v>7924</v>
      </c>
      <c r="I46" s="1664">
        <v>3789</v>
      </c>
      <c r="J46" s="1664">
        <v>11841</v>
      </c>
      <c r="K46" s="1664">
        <v>2053</v>
      </c>
    </row>
    <row r="47" spans="2:11" ht="15.75" customHeight="1" x14ac:dyDescent="0.25">
      <c r="B47" s="3664" t="s">
        <v>2293</v>
      </c>
      <c r="C47" s="3665"/>
      <c r="D47" s="3665"/>
      <c r="E47" s="3665"/>
      <c r="F47" s="3665"/>
      <c r="G47" s="3665"/>
      <c r="H47" s="3665"/>
      <c r="I47" s="3665"/>
      <c r="J47" s="3665"/>
      <c r="K47" s="3665"/>
    </row>
    <row r="48" spans="2:11" ht="33.75" customHeight="1" x14ac:dyDescent="0.25">
      <c r="B48" s="3666"/>
      <c r="C48" s="3667"/>
      <c r="D48" s="3667"/>
      <c r="E48" s="3667"/>
      <c r="F48" s="3667"/>
      <c r="G48" s="3667"/>
      <c r="H48" s="3667"/>
      <c r="I48" s="3667"/>
      <c r="J48" s="3667"/>
      <c r="K48" s="3667"/>
    </row>
    <row r="49" spans="2:11" x14ac:dyDescent="0.25">
      <c r="B49" s="510"/>
    </row>
    <row r="50" spans="2:11" x14ac:dyDescent="0.25">
      <c r="B50" s="510"/>
    </row>
    <row r="51" spans="2:11" x14ac:dyDescent="0.25">
      <c r="B51" s="510" t="s">
        <v>186</v>
      </c>
    </row>
    <row r="52" spans="2:11" x14ac:dyDescent="0.25">
      <c r="B52" s="510"/>
    </row>
    <row r="53" spans="2:11" x14ac:dyDescent="0.25">
      <c r="B53" s="510"/>
    </row>
    <row r="54" spans="2:11" x14ac:dyDescent="0.25">
      <c r="B54" s="510"/>
    </row>
    <row r="55" spans="2:11" x14ac:dyDescent="0.25">
      <c r="B55" s="510"/>
    </row>
    <row r="56" spans="2:11" x14ac:dyDescent="0.25">
      <c r="B56" s="510"/>
    </row>
    <row r="57" spans="2:11" x14ac:dyDescent="0.25">
      <c r="B57" s="510"/>
    </row>
    <row r="58" spans="2:11" x14ac:dyDescent="0.25">
      <c r="B58" s="510"/>
    </row>
    <row r="59" spans="2:11" x14ac:dyDescent="0.25">
      <c r="B59" s="510"/>
    </row>
    <row r="60" spans="2:11" x14ac:dyDescent="0.25">
      <c r="B60" s="510"/>
    </row>
    <row r="61" spans="2:11" x14ac:dyDescent="0.25">
      <c r="B61" s="510"/>
    </row>
    <row r="62" spans="2:11" ht="16.5" thickBot="1" x14ac:dyDescent="0.3">
      <c r="B62" s="400"/>
      <c r="C62" s="403"/>
      <c r="D62" s="403"/>
      <c r="E62" s="403"/>
      <c r="F62" s="403"/>
      <c r="G62" s="403"/>
      <c r="H62" s="497"/>
      <c r="I62" s="497"/>
      <c r="J62" s="497"/>
      <c r="K62" s="497"/>
    </row>
  </sheetData>
  <mergeCells count="11">
    <mergeCell ref="B47:K47"/>
    <mergeCell ref="B48:K48"/>
    <mergeCell ref="B3:B4"/>
    <mergeCell ref="B1:K1"/>
    <mergeCell ref="B2:K2"/>
    <mergeCell ref="C3:C4"/>
    <mergeCell ref="D3:D4"/>
    <mergeCell ref="E3:E4"/>
    <mergeCell ref="F3:F4"/>
    <mergeCell ref="G3:G4"/>
    <mergeCell ref="H3:K3"/>
  </mergeCells>
  <hyperlinks>
    <hyperlink ref="A1" location="CONTENTS!A1" display="Home" xr:uid="{7F032097-8423-4445-95CB-0A34F1FE642B}"/>
  </hyperlinks>
  <pageMargins left="0.70866141732283472" right="0.70866141732283472" top="0.74803149606299213" bottom="0.74803149606299213" header="0.31496062992125984" footer="0.31496062992125984"/>
  <pageSetup paperSize="9" scale="43" orientation="portrait" horizontalDpi="300" verticalDpi="300" r:id="rId1"/>
  <drawing r:id="rId2"/>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B47750-6FE1-412C-9AE3-3DB14AE36FAB}">
  <sheetPr>
    <tabColor theme="0"/>
    <pageSetUpPr fitToPage="1"/>
  </sheetPr>
  <dimension ref="A1:G46"/>
  <sheetViews>
    <sheetView view="pageLayout" topLeftCell="A14" zoomScale="55" zoomScaleNormal="100" zoomScalePageLayoutView="55" workbookViewId="0">
      <selection activeCell="G31" sqref="G31"/>
    </sheetView>
  </sheetViews>
  <sheetFormatPr defaultRowHeight="15.75" x14ac:dyDescent="0.25"/>
  <cols>
    <col min="1" max="1" width="36" style="58" customWidth="1"/>
    <col min="2" max="4" width="16.28515625" style="58" customWidth="1"/>
    <col min="5" max="6" width="16.28515625" style="393" customWidth="1"/>
    <col min="7" max="7" width="16.28515625" style="58" customWidth="1"/>
    <col min="8" max="16384" width="9.140625" style="58"/>
  </cols>
  <sheetData>
    <row r="1" spans="1:7" ht="18.75" x14ac:dyDescent="0.25">
      <c r="A1" s="2643" t="s">
        <v>2304</v>
      </c>
      <c r="B1" s="2644"/>
      <c r="C1" s="2644"/>
      <c r="D1" s="2644"/>
      <c r="E1" s="2644"/>
      <c r="F1" s="2644"/>
      <c r="G1" s="2645"/>
    </row>
    <row r="2" spans="1:7" ht="16.5" x14ac:dyDescent="0.25">
      <c r="A2" s="3679" t="s">
        <v>2283</v>
      </c>
      <c r="B2" s="3680"/>
      <c r="C2" s="3680"/>
      <c r="D2" s="3680"/>
      <c r="E2" s="3680"/>
      <c r="F2" s="3680"/>
      <c r="G2" s="3681"/>
    </row>
    <row r="3" spans="1:7" ht="30.75" customHeight="1" x14ac:dyDescent="0.25">
      <c r="A3" s="3682" t="s">
        <v>2284</v>
      </c>
      <c r="B3" s="3683" t="s">
        <v>2561</v>
      </c>
      <c r="C3" s="3683"/>
      <c r="D3" s="3683"/>
      <c r="E3" s="3683" t="s">
        <v>2314</v>
      </c>
      <c r="F3" s="3683"/>
      <c r="G3" s="3683"/>
    </row>
    <row r="4" spans="1:7" ht="36" customHeight="1" x14ac:dyDescent="0.25">
      <c r="A4" s="3682"/>
      <c r="B4" s="584" t="s">
        <v>2207</v>
      </c>
      <c r="C4" s="584" t="s">
        <v>2286</v>
      </c>
      <c r="D4" s="625" t="s">
        <v>133</v>
      </c>
      <c r="E4" s="584" t="s">
        <v>2207</v>
      </c>
      <c r="F4" s="584" t="s">
        <v>2286</v>
      </c>
      <c r="G4" s="625" t="s">
        <v>133</v>
      </c>
    </row>
    <row r="5" spans="1:7" ht="18.75" x14ac:dyDescent="0.25">
      <c r="A5" s="537" t="s">
        <v>1484</v>
      </c>
      <c r="B5" s="1705">
        <v>7.2521525215252156</v>
      </c>
      <c r="C5" s="1705">
        <v>9.6236795158209336</v>
      </c>
      <c r="D5" s="1705">
        <v>9.6079962168980551</v>
      </c>
      <c r="E5" s="1714">
        <v>7.26</v>
      </c>
      <c r="F5" s="1714">
        <v>10.92</v>
      </c>
      <c r="G5" s="1714">
        <v>10.89</v>
      </c>
    </row>
    <row r="6" spans="1:7" ht="18.75" x14ac:dyDescent="0.25">
      <c r="A6" s="537" t="s">
        <v>1485</v>
      </c>
      <c r="B6" s="1705">
        <v>7.580086515547956</v>
      </c>
      <c r="C6" s="1705">
        <v>9.1877706727478685</v>
      </c>
      <c r="D6" s="1705">
        <v>9.1098858646908951</v>
      </c>
      <c r="E6" s="1714">
        <v>7.57</v>
      </c>
      <c r="F6" s="1714">
        <v>9.3800000000000008</v>
      </c>
      <c r="G6" s="1714">
        <v>9.3000000000000007</v>
      </c>
    </row>
    <row r="7" spans="1:7" ht="18.75" x14ac:dyDescent="0.25">
      <c r="A7" s="537" t="s">
        <v>507</v>
      </c>
      <c r="B7" s="1705">
        <v>6.7551016479286554</v>
      </c>
      <c r="C7" s="1705">
        <v>8.2688070460191909</v>
      </c>
      <c r="D7" s="1705">
        <v>8.0575225430581785</v>
      </c>
      <c r="E7" s="1714">
        <v>6.76</v>
      </c>
      <c r="F7" s="1714">
        <v>8.17</v>
      </c>
      <c r="G7" s="1714">
        <v>7.98</v>
      </c>
    </row>
    <row r="8" spans="1:7" ht="18.75" x14ac:dyDescent="0.25">
      <c r="A8" s="537" t="s">
        <v>538</v>
      </c>
      <c r="B8" s="1705">
        <v>4.2837382522212817</v>
      </c>
      <c r="C8" s="1705">
        <v>5.5356221997781461</v>
      </c>
      <c r="D8" s="1705">
        <v>5.4512697018850158</v>
      </c>
      <c r="E8" s="1714">
        <v>4.47</v>
      </c>
      <c r="F8" s="1714">
        <v>5.5</v>
      </c>
      <c r="G8" s="1714">
        <v>5.43</v>
      </c>
    </row>
    <row r="9" spans="1:7" ht="18.75" x14ac:dyDescent="0.25">
      <c r="A9" s="537" t="s">
        <v>1521</v>
      </c>
      <c r="B9" s="1705">
        <v>4.2691591122424581</v>
      </c>
      <c r="C9" s="1705">
        <v>5.0723744692950223</v>
      </c>
      <c r="D9" s="1705">
        <v>4.7841367797151531</v>
      </c>
      <c r="E9" s="1714">
        <v>4.03</v>
      </c>
      <c r="F9" s="1714">
        <v>5.08</v>
      </c>
      <c r="G9" s="1714">
        <v>4.7</v>
      </c>
    </row>
    <row r="10" spans="1:7" ht="18.75" x14ac:dyDescent="0.25">
      <c r="A10" s="537" t="s">
        <v>1488</v>
      </c>
      <c r="B10" s="1705">
        <v>5.2277997135569887</v>
      </c>
      <c r="C10" s="1705">
        <v>6.6024820199468248</v>
      </c>
      <c r="D10" s="1705">
        <v>6.4533859651673922</v>
      </c>
      <c r="E10" s="1714">
        <v>4.54</v>
      </c>
      <c r="F10" s="1714">
        <v>6.64</v>
      </c>
      <c r="G10" s="1714">
        <v>6.4</v>
      </c>
    </row>
    <row r="11" spans="1:7" ht="18.75" x14ac:dyDescent="0.25">
      <c r="A11" s="537" t="s">
        <v>645</v>
      </c>
      <c r="B11" s="1705">
        <v>5.4904693003319629</v>
      </c>
      <c r="C11" s="1705">
        <v>7.3525419419058906</v>
      </c>
      <c r="D11" s="1705">
        <v>7.0900207620755253</v>
      </c>
      <c r="E11" s="1714">
        <v>5.63</v>
      </c>
      <c r="F11" s="1714">
        <v>7.29</v>
      </c>
      <c r="G11" s="1714">
        <v>7.05</v>
      </c>
    </row>
    <row r="12" spans="1:7" ht="18.75" x14ac:dyDescent="0.25">
      <c r="A12" s="537" t="s">
        <v>223</v>
      </c>
      <c r="B12" s="1705">
        <v>5.0195000315735756</v>
      </c>
      <c r="C12" s="1705">
        <v>6.9124314273696443</v>
      </c>
      <c r="D12" s="1705">
        <v>6.1488610392242284</v>
      </c>
      <c r="E12" s="1714">
        <v>4.93</v>
      </c>
      <c r="F12" s="1714">
        <v>6.76</v>
      </c>
      <c r="G12" s="1714">
        <v>6.02</v>
      </c>
    </row>
    <row r="13" spans="1:7" ht="18.75" x14ac:dyDescent="0.25">
      <c r="A13" s="537" t="s">
        <v>709</v>
      </c>
      <c r="B13" s="1705">
        <v>5.3455400528933472</v>
      </c>
      <c r="C13" s="1705">
        <v>6.8762924563993364</v>
      </c>
      <c r="D13" s="1705">
        <v>6.2856445096607736</v>
      </c>
      <c r="E13" s="1714">
        <v>5.08</v>
      </c>
      <c r="F13" s="1714">
        <v>6.7</v>
      </c>
      <c r="G13" s="1714">
        <v>6.07</v>
      </c>
    </row>
    <row r="14" spans="1:7" ht="18.75" x14ac:dyDescent="0.25">
      <c r="A14" s="537" t="s">
        <v>757</v>
      </c>
      <c r="B14" s="1705">
        <v>5.1510155033360245</v>
      </c>
      <c r="C14" s="1705">
        <v>7.488707453341263</v>
      </c>
      <c r="D14" s="1705">
        <v>7.1046989210974996</v>
      </c>
      <c r="E14" s="1714">
        <v>5.04</v>
      </c>
      <c r="F14" s="1714">
        <v>7.42</v>
      </c>
      <c r="G14" s="1714">
        <v>7.02</v>
      </c>
    </row>
    <row r="15" spans="1:7" ht="18.75" x14ac:dyDescent="0.25">
      <c r="A15" s="667" t="s">
        <v>1726</v>
      </c>
      <c r="B15" s="1715">
        <v>5.293503995386958</v>
      </c>
      <c r="C15" s="1715">
        <v>7.1988517072436773</v>
      </c>
      <c r="D15" s="1715">
        <v>6.6095471511699309</v>
      </c>
      <c r="E15" s="584">
        <v>5.1100000000000003</v>
      </c>
      <c r="F15" s="584">
        <v>7.1</v>
      </c>
      <c r="G15" s="584">
        <v>6.48</v>
      </c>
    </row>
    <row r="16" spans="1:7" ht="18.75" x14ac:dyDescent="0.25">
      <c r="A16" s="537" t="s">
        <v>220</v>
      </c>
      <c r="B16" s="1705">
        <v>4.1017036982351982</v>
      </c>
      <c r="C16" s="1705">
        <v>6.601175092401852</v>
      </c>
      <c r="D16" s="1705">
        <v>6.1976716717446321</v>
      </c>
      <c r="E16" s="1714">
        <v>4.1399999999999997</v>
      </c>
      <c r="F16" s="1714">
        <v>6.6</v>
      </c>
      <c r="G16" s="1714">
        <v>6.19</v>
      </c>
    </row>
    <row r="17" spans="1:7" ht="18.75" x14ac:dyDescent="0.25">
      <c r="A17" s="537" t="s">
        <v>331</v>
      </c>
      <c r="B17" s="1705">
        <v>3.6509619476715072</v>
      </c>
      <c r="C17" s="1705">
        <v>5.547071180620903</v>
      </c>
      <c r="D17" s="1705">
        <v>4.4888979956241286</v>
      </c>
      <c r="E17" s="1714">
        <v>3.36</v>
      </c>
      <c r="F17" s="1714">
        <v>5.53</v>
      </c>
      <c r="G17" s="1714">
        <v>4.32</v>
      </c>
    </row>
    <row r="18" spans="1:7" ht="18.75" x14ac:dyDescent="0.25">
      <c r="A18" s="537" t="s">
        <v>1492</v>
      </c>
      <c r="B18" s="1705">
        <v>4.4923540214991604</v>
      </c>
      <c r="C18" s="1705">
        <v>5.5828989240679148</v>
      </c>
      <c r="D18" s="1705">
        <v>5.2341871763353645</v>
      </c>
      <c r="E18" s="1714">
        <v>4.4000000000000004</v>
      </c>
      <c r="F18" s="1714">
        <v>5.25</v>
      </c>
      <c r="G18" s="1714">
        <v>4.9800000000000004</v>
      </c>
    </row>
    <row r="19" spans="1:7" ht="18.75" x14ac:dyDescent="0.25">
      <c r="A19" s="537" t="s">
        <v>1493</v>
      </c>
      <c r="B19" s="1705">
        <v>2.9042064004555423</v>
      </c>
      <c r="C19" s="1705">
        <v>7.0145299098355949</v>
      </c>
      <c r="D19" s="1705">
        <v>4.51209732318934</v>
      </c>
      <c r="E19" s="1714">
        <v>2.6</v>
      </c>
      <c r="F19" s="1714">
        <v>7.52</v>
      </c>
      <c r="G19" s="1714">
        <v>4.43</v>
      </c>
    </row>
    <row r="20" spans="1:7" ht="18.75" x14ac:dyDescent="0.25">
      <c r="A20" s="537" t="s">
        <v>1494</v>
      </c>
      <c r="B20" s="1705">
        <v>5.3386253952719747</v>
      </c>
      <c r="C20" s="1705">
        <v>6.6556257501529084</v>
      </c>
      <c r="D20" s="1705">
        <v>6.5219580207734191</v>
      </c>
      <c r="E20" s="1714">
        <v>5.37</v>
      </c>
      <c r="F20" s="1714">
        <v>6.75</v>
      </c>
      <c r="G20" s="1714">
        <v>6.61</v>
      </c>
    </row>
    <row r="21" spans="1:7" ht="18.75" x14ac:dyDescent="0.25">
      <c r="A21" s="537" t="s">
        <v>1495</v>
      </c>
      <c r="B21" s="1705">
        <v>4.3223695518893051</v>
      </c>
      <c r="C21" s="1705">
        <v>5.8273819095518844</v>
      </c>
      <c r="D21" s="1705">
        <v>5.3386960095035132</v>
      </c>
      <c r="E21" s="1714">
        <v>3.97</v>
      </c>
      <c r="F21" s="1714">
        <v>6.61</v>
      </c>
      <c r="G21" s="1714">
        <v>5.75</v>
      </c>
    </row>
    <row r="22" spans="1:7" ht="18.75" x14ac:dyDescent="0.25">
      <c r="A22" s="537" t="s">
        <v>1496</v>
      </c>
      <c r="B22" s="1705">
        <v>5.1664382390930088</v>
      </c>
      <c r="C22" s="1705">
        <v>7.033456093487791</v>
      </c>
      <c r="D22" s="1705">
        <v>6.8382474816142071</v>
      </c>
      <c r="E22" s="1714">
        <v>4.7699999999999996</v>
      </c>
      <c r="F22" s="1714">
        <v>7.21</v>
      </c>
      <c r="G22" s="1714">
        <v>6.95</v>
      </c>
    </row>
    <row r="23" spans="1:7" ht="18.75" x14ac:dyDescent="0.25">
      <c r="A23" s="537" t="s">
        <v>390</v>
      </c>
      <c r="B23" s="1705">
        <v>3.6337080432316147</v>
      </c>
      <c r="C23" s="1705">
        <v>7.0475085549906735</v>
      </c>
      <c r="D23" s="1705">
        <v>5.7539873067797878</v>
      </c>
      <c r="E23" s="1714">
        <v>3.2</v>
      </c>
      <c r="F23" s="1714">
        <v>6.96</v>
      </c>
      <c r="G23" s="1714">
        <v>5.54</v>
      </c>
    </row>
    <row r="24" spans="1:7" ht="18.75" x14ac:dyDescent="0.25">
      <c r="A24" s="667" t="s">
        <v>1742</v>
      </c>
      <c r="B24" s="1715">
        <v>3.6746531007174368</v>
      </c>
      <c r="C24" s="1715">
        <v>5.8785106353062835</v>
      </c>
      <c r="D24" s="1715">
        <v>4.7836136454847917</v>
      </c>
      <c r="E24" s="584">
        <v>3.39</v>
      </c>
      <c r="F24" s="584">
        <v>5.89</v>
      </c>
      <c r="G24" s="584">
        <v>4.6399999999999997</v>
      </c>
    </row>
    <row r="25" spans="1:7" ht="18.75" x14ac:dyDescent="0.25">
      <c r="A25" s="537" t="s">
        <v>1490</v>
      </c>
      <c r="B25" s="1705">
        <v>5.1600228118658098</v>
      </c>
      <c r="C25" s="1705">
        <v>7.7712542350812317</v>
      </c>
      <c r="D25" s="1705">
        <v>7.4912274233605229</v>
      </c>
      <c r="E25" s="1714">
        <v>6.06</v>
      </c>
      <c r="F25" s="1714">
        <v>7.43</v>
      </c>
      <c r="G25" s="1714">
        <v>7.28</v>
      </c>
    </row>
    <row r="26" spans="1:7" ht="18.75" x14ac:dyDescent="0.25">
      <c r="A26" s="537" t="s">
        <v>426</v>
      </c>
      <c r="B26" s="1705">
        <v>4.4863181764048905</v>
      </c>
      <c r="C26" s="1705">
        <v>6.5573798224464213</v>
      </c>
      <c r="D26" s="1705">
        <v>5.5025365144393223</v>
      </c>
      <c r="E26" s="1714">
        <v>4.1500000000000004</v>
      </c>
      <c r="F26" s="1714">
        <v>6.38</v>
      </c>
      <c r="G26" s="1714">
        <v>5.24</v>
      </c>
    </row>
    <row r="27" spans="1:7" ht="18.75" x14ac:dyDescent="0.25">
      <c r="A27" s="537" t="s">
        <v>541</v>
      </c>
      <c r="B27" s="1705">
        <v>3.6774348521612459</v>
      </c>
      <c r="C27" s="1705">
        <v>6.5068579937491613</v>
      </c>
      <c r="D27" s="1705">
        <v>4.8417744894726367</v>
      </c>
      <c r="E27" s="1714">
        <v>3.2</v>
      </c>
      <c r="F27" s="1714">
        <v>6.39</v>
      </c>
      <c r="G27" s="1714">
        <v>4.5</v>
      </c>
    </row>
    <row r="28" spans="1:7" ht="18.75" x14ac:dyDescent="0.25">
      <c r="A28" s="537" t="s">
        <v>631</v>
      </c>
      <c r="B28" s="1705">
        <v>4.3218278992743784</v>
      </c>
      <c r="C28" s="1705">
        <v>6.1319215637973317</v>
      </c>
      <c r="D28" s="1705">
        <v>5.1316603346052254</v>
      </c>
      <c r="E28" s="1714">
        <v>4.03</v>
      </c>
      <c r="F28" s="1714">
        <v>5.86</v>
      </c>
      <c r="G28" s="1714">
        <v>4.84</v>
      </c>
    </row>
    <row r="29" spans="1:7" ht="18.75" x14ac:dyDescent="0.25">
      <c r="A29" s="537" t="s">
        <v>225</v>
      </c>
      <c r="B29" s="1705">
        <v>5.0253043205650334</v>
      </c>
      <c r="C29" s="1705">
        <v>6.2121643489936584</v>
      </c>
      <c r="D29" s="1705">
        <v>5.6719599507997902</v>
      </c>
      <c r="E29" s="1714">
        <v>4.78</v>
      </c>
      <c r="F29" s="1714">
        <v>6.09</v>
      </c>
      <c r="G29" s="1714">
        <v>5.49</v>
      </c>
    </row>
    <row r="30" spans="1:7" ht="18.75" x14ac:dyDescent="0.25">
      <c r="A30" s="667" t="s">
        <v>1728</v>
      </c>
      <c r="B30" s="1715">
        <v>4.5624528122765398</v>
      </c>
      <c r="C30" s="1715">
        <v>6.3480194436186483</v>
      </c>
      <c r="D30" s="1715">
        <v>5.4533254291612199</v>
      </c>
      <c r="E30" s="584">
        <v>4.25</v>
      </c>
      <c r="F30" s="584">
        <v>6.19</v>
      </c>
      <c r="G30" s="584">
        <v>5.21</v>
      </c>
    </row>
    <row r="31" spans="1:7" ht="18.75" x14ac:dyDescent="0.25">
      <c r="A31" s="537" t="s">
        <v>452</v>
      </c>
      <c r="B31" s="1705">
        <v>2.5249395890303532</v>
      </c>
      <c r="C31" s="1705">
        <v>6.5840947329231989</v>
      </c>
      <c r="D31" s="1705">
        <v>4.1266800836546009</v>
      </c>
      <c r="E31" s="1714">
        <v>2.39</v>
      </c>
      <c r="F31" s="1714">
        <v>6.47</v>
      </c>
      <c r="G31" s="1705">
        <v>4</v>
      </c>
    </row>
    <row r="32" spans="1:7" ht="40.5" customHeight="1" x14ac:dyDescent="0.25">
      <c r="A32" s="663" t="s">
        <v>1498</v>
      </c>
      <c r="B32" s="1705">
        <v>4.7164569374080729</v>
      </c>
      <c r="C32" s="1705">
        <v>6.8371353548075087</v>
      </c>
      <c r="D32" s="1705">
        <v>6.6128333585918373</v>
      </c>
      <c r="E32" s="1714">
        <v>4.92</v>
      </c>
      <c r="F32" s="1714">
        <v>7.07</v>
      </c>
      <c r="G32" s="1714">
        <v>6.85</v>
      </c>
    </row>
    <row r="33" spans="1:7" ht="18.75" x14ac:dyDescent="0.25">
      <c r="A33" s="537" t="s">
        <v>466</v>
      </c>
      <c r="B33" s="1705">
        <v>4.6741629185407305</v>
      </c>
      <c r="C33" s="1705">
        <v>6.8829557449753356</v>
      </c>
      <c r="D33" s="1705">
        <v>6.8753861456163916</v>
      </c>
      <c r="E33" s="1714">
        <v>4.2699999999999996</v>
      </c>
      <c r="F33" s="1714">
        <v>6.9</v>
      </c>
      <c r="G33" s="1714">
        <v>6.9</v>
      </c>
    </row>
    <row r="34" spans="1:7" ht="18.75" x14ac:dyDescent="0.25">
      <c r="A34" s="537" t="s">
        <v>822</v>
      </c>
      <c r="B34" s="1705">
        <v>5.5561692670834448</v>
      </c>
      <c r="C34" s="1705">
        <v>7.2143251764616645</v>
      </c>
      <c r="D34" s="1705">
        <v>6.6506997350538253</v>
      </c>
      <c r="E34" s="1714">
        <v>5.31</v>
      </c>
      <c r="F34" s="1714">
        <v>7.23</v>
      </c>
      <c r="G34" s="1714">
        <v>6.58</v>
      </c>
    </row>
    <row r="35" spans="1:7" ht="18.75" x14ac:dyDescent="0.25">
      <c r="A35" s="537" t="s">
        <v>578</v>
      </c>
      <c r="B35" s="1705">
        <v>3.7258548833913001</v>
      </c>
      <c r="C35" s="1705">
        <v>6.320090358091436</v>
      </c>
      <c r="D35" s="1705">
        <v>5.0033465015026382</v>
      </c>
      <c r="E35" s="1714">
        <v>3.5</v>
      </c>
      <c r="F35" s="1714">
        <v>6.21</v>
      </c>
      <c r="G35" s="1714">
        <v>4.83</v>
      </c>
    </row>
    <row r="36" spans="1:7" ht="18.75" x14ac:dyDescent="0.25">
      <c r="A36" s="537" t="s">
        <v>606</v>
      </c>
      <c r="B36" s="1705">
        <v>5.331167367849007</v>
      </c>
      <c r="C36" s="1705">
        <v>7.0768820042699314</v>
      </c>
      <c r="D36" s="1705">
        <v>6.7896484287524315</v>
      </c>
      <c r="E36" s="1714">
        <v>5.19</v>
      </c>
      <c r="F36" s="1714">
        <v>6.95</v>
      </c>
      <c r="G36" s="1714">
        <v>6.66</v>
      </c>
    </row>
    <row r="37" spans="1:7" ht="18.75" x14ac:dyDescent="0.25">
      <c r="A37" s="667" t="s">
        <v>1729</v>
      </c>
      <c r="B37" s="1715">
        <v>4.24864985495533</v>
      </c>
      <c r="C37" s="1715">
        <v>6.9321913934792487</v>
      </c>
      <c r="D37" s="1715">
        <v>6.0650192316908917</v>
      </c>
      <c r="E37" s="584">
        <v>4.0599999999999996</v>
      </c>
      <c r="F37" s="584">
        <v>6.84</v>
      </c>
      <c r="G37" s="584">
        <v>5.94</v>
      </c>
    </row>
    <row r="38" spans="1:7" ht="18.75" x14ac:dyDescent="0.25">
      <c r="A38" s="537" t="s">
        <v>221</v>
      </c>
      <c r="B38" s="1705">
        <v>4.6790714103477162</v>
      </c>
      <c r="C38" s="1705">
        <v>5.8388943202625923</v>
      </c>
      <c r="D38" s="1705">
        <v>5.7626395508500954</v>
      </c>
      <c r="E38" s="1714">
        <v>4.42</v>
      </c>
      <c r="F38" s="1714">
        <v>5.74</v>
      </c>
      <c r="G38" s="1714">
        <v>5.66</v>
      </c>
    </row>
    <row r="39" spans="1:7" ht="18.75" x14ac:dyDescent="0.25">
      <c r="A39" s="537" t="s">
        <v>550</v>
      </c>
      <c r="B39" s="1705">
        <v>5.4946294918262852</v>
      </c>
      <c r="C39" s="1705">
        <v>7.0191672753269909</v>
      </c>
      <c r="D39" s="1705">
        <v>6.682475416340373</v>
      </c>
      <c r="E39" s="1714">
        <v>5.35</v>
      </c>
      <c r="F39" s="1714">
        <v>6.93</v>
      </c>
      <c r="G39" s="1714">
        <v>6.58</v>
      </c>
    </row>
    <row r="40" spans="1:7" ht="18.75" x14ac:dyDescent="0.25">
      <c r="A40" s="537" t="s">
        <v>568</v>
      </c>
      <c r="B40" s="1705">
        <v>4.7527492488685983</v>
      </c>
      <c r="C40" s="1705">
        <v>6.9641471478740371</v>
      </c>
      <c r="D40" s="1705">
        <v>6.8765168234924472</v>
      </c>
      <c r="E40" s="1714">
        <v>4.4000000000000004</v>
      </c>
      <c r="F40" s="1714">
        <v>6.79</v>
      </c>
      <c r="G40" s="1714">
        <v>6.69</v>
      </c>
    </row>
    <row r="41" spans="1:7" ht="18.75" x14ac:dyDescent="0.25">
      <c r="A41" s="537" t="s">
        <v>1500</v>
      </c>
      <c r="B41" s="1705">
        <v>4.3486486486486484</v>
      </c>
      <c r="C41" s="1705">
        <v>5.0712542631183055</v>
      </c>
      <c r="D41" s="1705">
        <v>5.052296977525808</v>
      </c>
      <c r="E41" s="1714">
        <v>3.6</v>
      </c>
      <c r="F41" s="1714">
        <v>4.8099999999999996</v>
      </c>
      <c r="G41" s="1714">
        <v>4.78</v>
      </c>
    </row>
    <row r="42" spans="1:7" ht="18.75" x14ac:dyDescent="0.25">
      <c r="A42" s="537" t="s">
        <v>851</v>
      </c>
      <c r="B42" s="1705">
        <v>7.1097511090086449</v>
      </c>
      <c r="C42" s="1705">
        <v>7.1960709181662548</v>
      </c>
      <c r="D42" s="1705">
        <v>7.1919323171030429</v>
      </c>
      <c r="E42" s="1714">
        <v>7.2</v>
      </c>
      <c r="F42" s="1714">
        <v>7.19</v>
      </c>
      <c r="G42" s="1714">
        <v>7.2</v>
      </c>
    </row>
    <row r="43" spans="1:7" ht="18.75" x14ac:dyDescent="0.25">
      <c r="A43" s="537" t="s">
        <v>224</v>
      </c>
      <c r="B43" s="1705">
        <v>5.0375263109189437</v>
      </c>
      <c r="C43" s="1705">
        <v>6.4836959557311946</v>
      </c>
      <c r="D43" s="1705">
        <v>6.2326232389967124</v>
      </c>
      <c r="E43" s="1714">
        <v>4.8099999999999996</v>
      </c>
      <c r="F43" s="1714">
        <v>6.41</v>
      </c>
      <c r="G43" s="1714">
        <v>6.13</v>
      </c>
    </row>
    <row r="44" spans="1:7" ht="18.75" x14ac:dyDescent="0.25">
      <c r="A44" s="537" t="s">
        <v>691</v>
      </c>
      <c r="B44" s="1705">
        <v>3.6956596811097948</v>
      </c>
      <c r="C44" s="1705">
        <v>5.9319885962843095</v>
      </c>
      <c r="D44" s="1705">
        <v>5.7207506286535157</v>
      </c>
      <c r="E44" s="1714">
        <v>3.67</v>
      </c>
      <c r="F44" s="1714">
        <v>5.86</v>
      </c>
      <c r="G44" s="1714">
        <v>5.65</v>
      </c>
    </row>
    <row r="45" spans="1:7" ht="18.75" x14ac:dyDescent="0.25">
      <c r="A45" s="667" t="s">
        <v>1730</v>
      </c>
      <c r="B45" s="1715">
        <v>5.0234258073457143</v>
      </c>
      <c r="C45" s="1715">
        <v>6.4364671700326843</v>
      </c>
      <c r="D45" s="1715">
        <v>6.2466257035433728</v>
      </c>
      <c r="E45" s="584">
        <v>4.8499999999999996</v>
      </c>
      <c r="F45" s="584">
        <v>6.34</v>
      </c>
      <c r="G45" s="584">
        <v>6.14</v>
      </c>
    </row>
    <row r="46" spans="1:7" ht="19.5" thickBot="1" x14ac:dyDescent="0.3">
      <c r="A46" s="670" t="s">
        <v>1029</v>
      </c>
      <c r="B46" s="1716">
        <v>4.7070638240333835</v>
      </c>
      <c r="C46" s="1716">
        <v>6.7425916578985419</v>
      </c>
      <c r="D46" s="1716">
        <v>6.1012776447165313</v>
      </c>
      <c r="E46" s="1717">
        <v>4.47</v>
      </c>
      <c r="F46" s="1717">
        <v>6.64</v>
      </c>
      <c r="G46" s="1717">
        <v>5.96</v>
      </c>
    </row>
  </sheetData>
  <mergeCells count="5">
    <mergeCell ref="A1:G1"/>
    <mergeCell ref="A2:G2"/>
    <mergeCell ref="A3:A4"/>
    <mergeCell ref="B3:D3"/>
    <mergeCell ref="E3:G3"/>
  </mergeCells>
  <pageMargins left="0.70866141732283472" right="0.70866141732283472" top="0.74803149606299213" bottom="0.74803149606299213" header="0.31496062992125984" footer="0.31496062992125984"/>
  <pageSetup paperSize="9" scale="65" orientation="portrait" r:id="rId1"/>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41DF67-89EA-455D-84A8-8527D4150A15}">
  <sheetPr codeName="Sheet85">
    <tabColor theme="0"/>
    <pageSetUpPr fitToPage="1"/>
  </sheetPr>
  <dimension ref="B2:B59"/>
  <sheetViews>
    <sheetView view="pageLayout" topLeftCell="A2" zoomScale="80" zoomScaleNormal="100" zoomScalePageLayoutView="80" workbookViewId="0">
      <selection activeCell="B81" sqref="B81"/>
    </sheetView>
  </sheetViews>
  <sheetFormatPr defaultColWidth="9.140625" defaultRowHeight="15.75" x14ac:dyDescent="0.25"/>
  <cols>
    <col min="1" max="1" width="9.140625" style="112"/>
    <col min="2" max="2" width="103" style="112" customWidth="1"/>
    <col min="3" max="16384" width="9.140625" style="112"/>
  </cols>
  <sheetData>
    <row r="2" spans="2:2" ht="16.5" x14ac:dyDescent="0.25">
      <c r="B2" s="2045" t="s">
        <v>2532</v>
      </c>
    </row>
    <row r="3" spans="2:2" x14ac:dyDescent="0.25">
      <c r="B3" s="2046"/>
    </row>
    <row r="4" spans="2:2" ht="78.75" x14ac:dyDescent="0.25">
      <c r="B4" s="2384" t="s">
        <v>3005</v>
      </c>
    </row>
    <row r="5" spans="2:2" x14ac:dyDescent="0.25">
      <c r="B5" s="2384"/>
    </row>
    <row r="6" spans="2:2" ht="141.75" x14ac:dyDescent="0.25">
      <c r="B6" s="2384" t="s">
        <v>3006</v>
      </c>
    </row>
    <row r="7" spans="2:2" x14ac:dyDescent="0.25">
      <c r="B7" s="2385"/>
    </row>
    <row r="8" spans="2:2" ht="94.5" x14ac:dyDescent="0.25">
      <c r="B8" s="2386" t="s">
        <v>3028</v>
      </c>
    </row>
    <row r="9" spans="2:2" x14ac:dyDescent="0.25">
      <c r="B9" s="2384"/>
    </row>
    <row r="10" spans="2:2" ht="31.5" x14ac:dyDescent="0.25">
      <c r="B10" s="2384" t="s">
        <v>3011</v>
      </c>
    </row>
    <row r="59" ht="1.5" customHeight="1" x14ac:dyDescent="0.25"/>
  </sheetData>
  <pageMargins left="0.70866141732283472" right="0.70866141732283472" top="0.74803149606299213" bottom="0.74803149606299213" header="0.31496062992125984" footer="0.31496062992125984"/>
  <pageSetup paperSize="9" scale="77" orientation="portrait" r:id="rId1"/>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01D1D1-C27A-49DE-AF04-DC05C2EE6C7D}">
  <sheetPr>
    <tabColor theme="0"/>
  </sheetPr>
  <dimension ref="B1:C46"/>
  <sheetViews>
    <sheetView showGridLines="0" view="pageBreakPreview" zoomScaleNormal="100" zoomScaleSheetLayoutView="100" workbookViewId="0">
      <pane ySplit="4" topLeftCell="A5" activePane="bottomLeft" state="frozen"/>
      <selection activeCell="B81" sqref="B81"/>
      <selection pane="bottomLeft" activeCell="B1" sqref="B1:C1"/>
    </sheetView>
  </sheetViews>
  <sheetFormatPr defaultColWidth="9.140625" defaultRowHeight="15" x14ac:dyDescent="0.25"/>
  <cols>
    <col min="1" max="1" width="2.28515625" customWidth="1"/>
    <col min="2" max="2" width="32.42578125" customWidth="1"/>
    <col min="3" max="3" width="46.85546875" customWidth="1"/>
  </cols>
  <sheetData>
    <row r="1" spans="2:3" ht="23.25" customHeight="1" x14ac:dyDescent="0.25">
      <c r="B1" s="3684" t="s">
        <v>1746</v>
      </c>
      <c r="C1" s="3685"/>
    </row>
    <row r="2" spans="2:3" x14ac:dyDescent="0.25">
      <c r="B2" s="3686" t="s">
        <v>1747</v>
      </c>
      <c r="C2" s="3686"/>
    </row>
    <row r="3" spans="2:3" x14ac:dyDescent="0.25">
      <c r="B3" s="2505" t="s">
        <v>298</v>
      </c>
      <c r="C3" s="2506" t="s">
        <v>1748</v>
      </c>
    </row>
    <row r="4" spans="2:3" x14ac:dyDescent="0.25">
      <c r="B4" s="2507"/>
      <c r="C4" s="2417" t="s">
        <v>1749</v>
      </c>
    </row>
    <row r="5" spans="2:3" x14ac:dyDescent="0.25">
      <c r="B5" s="1869" t="s">
        <v>1172</v>
      </c>
      <c r="C5" s="1870">
        <v>26.604331809338539</v>
      </c>
    </row>
    <row r="6" spans="2:3" x14ac:dyDescent="0.25">
      <c r="B6" s="1869" t="s">
        <v>1173</v>
      </c>
      <c r="C6" s="1870">
        <v>27.97671170000001</v>
      </c>
    </row>
    <row r="7" spans="2:3" x14ac:dyDescent="0.25">
      <c r="B7" s="1869" t="s">
        <v>1080</v>
      </c>
      <c r="C7" s="1870">
        <v>39.211947489959847</v>
      </c>
    </row>
    <row r="8" spans="2:3" x14ac:dyDescent="0.25">
      <c r="B8" s="1869" t="s">
        <v>1081</v>
      </c>
      <c r="C8" s="1870">
        <v>55.724164400000006</v>
      </c>
    </row>
    <row r="9" spans="2:3" x14ac:dyDescent="0.25">
      <c r="B9" s="1869" t="s">
        <v>1750</v>
      </c>
      <c r="C9" s="1870">
        <v>62.455497931726903</v>
      </c>
    </row>
    <row r="10" spans="2:3" x14ac:dyDescent="0.25">
      <c r="B10" s="1869" t="s">
        <v>1751</v>
      </c>
      <c r="C10" s="1870">
        <v>79.245156052631529</v>
      </c>
    </row>
    <row r="11" spans="2:3" x14ac:dyDescent="0.25">
      <c r="B11" s="1869" t="s">
        <v>1752</v>
      </c>
      <c r="C11" s="1870">
        <v>83.56995349999994</v>
      </c>
    </row>
    <row r="12" spans="2:3" x14ac:dyDescent="0.25">
      <c r="B12" s="1869" t="s">
        <v>1753</v>
      </c>
      <c r="C12" s="1870">
        <v>69.762270040485845</v>
      </c>
    </row>
    <row r="13" spans="2:3" x14ac:dyDescent="0.25">
      <c r="B13" s="1869" t="s">
        <v>1754</v>
      </c>
      <c r="C13" s="1870">
        <v>85.093075772357778</v>
      </c>
    </row>
    <row r="14" spans="2:3" x14ac:dyDescent="0.25">
      <c r="B14" s="1871" t="s">
        <v>1087</v>
      </c>
      <c r="C14" s="1870">
        <v>111.88991236734687</v>
      </c>
    </row>
    <row r="15" spans="2:3" x14ac:dyDescent="0.25">
      <c r="B15" s="1871" t="s">
        <v>1176</v>
      </c>
      <c r="C15" s="1872">
        <v>107.97023172839511</v>
      </c>
    </row>
    <row r="16" spans="2:3" x14ac:dyDescent="0.25">
      <c r="B16" s="1873" t="s">
        <v>1089</v>
      </c>
      <c r="C16" s="1874">
        <v>105.51503528225797</v>
      </c>
    </row>
    <row r="17" spans="2:3" x14ac:dyDescent="0.25">
      <c r="B17" s="1875" t="s">
        <v>1177</v>
      </c>
      <c r="C17" s="1874">
        <v>84.156300105691088</v>
      </c>
    </row>
    <row r="18" spans="2:3" x14ac:dyDescent="0.25">
      <c r="B18" s="1875" t="s">
        <v>1091</v>
      </c>
      <c r="C18" s="1874">
        <v>46.16562723966944</v>
      </c>
    </row>
    <row r="19" spans="2:3" x14ac:dyDescent="0.25">
      <c r="B19" s="1875" t="s">
        <v>1092</v>
      </c>
      <c r="C19" s="1874">
        <v>47.557812594621531</v>
      </c>
    </row>
    <row r="20" spans="2:3" x14ac:dyDescent="0.25">
      <c r="B20" s="1875" t="s">
        <v>897</v>
      </c>
      <c r="C20" s="1874">
        <v>56.426878865306136</v>
      </c>
    </row>
    <row r="21" spans="2:3" x14ac:dyDescent="0.25">
      <c r="B21" s="1876" t="s">
        <v>7</v>
      </c>
      <c r="C21" s="1877">
        <v>69.875715749999983</v>
      </c>
    </row>
    <row r="22" spans="2:3" x14ac:dyDescent="0.25">
      <c r="B22" s="1876" t="s">
        <v>8</v>
      </c>
      <c r="C22" s="1877">
        <v>60.47</v>
      </c>
    </row>
    <row r="23" spans="2:3" x14ac:dyDescent="0.25">
      <c r="B23" s="1876" t="s">
        <v>76</v>
      </c>
      <c r="C23" s="1877">
        <v>44.821938917004019</v>
      </c>
    </row>
    <row r="24" spans="2:3" x14ac:dyDescent="0.25">
      <c r="B24" s="1876" t="s">
        <v>77</v>
      </c>
      <c r="C24" s="1877">
        <v>79.181425130081294</v>
      </c>
    </row>
    <row r="25" spans="2:3" x14ac:dyDescent="0.25">
      <c r="B25" s="1878" t="s">
        <v>11</v>
      </c>
      <c r="C25" s="1879">
        <v>93.151566872950767</v>
      </c>
    </row>
    <row r="26" spans="2:3" x14ac:dyDescent="0.25">
      <c r="B26" s="1878" t="s">
        <v>382</v>
      </c>
      <c r="C26" s="1879">
        <v>82.580010456967216</v>
      </c>
    </row>
    <row r="27" spans="2:3" x14ac:dyDescent="0.25">
      <c r="B27" s="1878" t="s">
        <v>2309</v>
      </c>
      <c r="C27" s="1879">
        <v>78.560027295918331</v>
      </c>
    </row>
    <row r="28" spans="2:3" x14ac:dyDescent="0.25">
      <c r="B28" s="1878" t="s">
        <v>2479</v>
      </c>
      <c r="C28" s="1879">
        <v>70.990725819556403</v>
      </c>
    </row>
    <row r="29" spans="2:3" x14ac:dyDescent="0.25">
      <c r="B29" s="3687" t="s">
        <v>2848</v>
      </c>
      <c r="C29" s="3687"/>
    </row>
    <row r="30" spans="2:3" x14ac:dyDescent="0.25">
      <c r="B30" s="1880" t="s">
        <v>1178</v>
      </c>
      <c r="C30" s="1874">
        <v>63.08337802380953</v>
      </c>
    </row>
    <row r="31" spans="2:3" x14ac:dyDescent="0.25">
      <c r="B31" s="1880" t="s">
        <v>1179</v>
      </c>
      <c r="C31" s="1874">
        <v>69.005476611111106</v>
      </c>
    </row>
    <row r="32" spans="2:3" x14ac:dyDescent="0.25">
      <c r="B32" s="1880" t="s">
        <v>1180</v>
      </c>
      <c r="C32" s="1874">
        <v>113.48987236363634</v>
      </c>
    </row>
    <row r="33" spans="2:3" x14ac:dyDescent="0.25">
      <c r="B33" s="1880" t="s">
        <v>1181</v>
      </c>
      <c r="C33" s="1874">
        <v>114.47643284999999</v>
      </c>
    </row>
    <row r="34" spans="2:3" x14ac:dyDescent="0.25">
      <c r="B34" s="2387" t="s">
        <v>2977</v>
      </c>
      <c r="C34" s="1874">
        <v>106.22755882352942</v>
      </c>
    </row>
    <row r="35" spans="2:3" x14ac:dyDescent="0.25">
      <c r="B35" s="2387" t="s">
        <v>2978</v>
      </c>
      <c r="C35" s="1874">
        <v>83.222497285714297</v>
      </c>
    </row>
    <row r="36" spans="2:3" hidden="1" x14ac:dyDescent="0.25">
      <c r="B36" s="2387"/>
      <c r="C36" s="1874"/>
    </row>
    <row r="37" spans="2:3" hidden="1" x14ac:dyDescent="0.25">
      <c r="B37" s="2387"/>
      <c r="C37" s="1874"/>
    </row>
    <row r="38" spans="2:3" hidden="1" x14ac:dyDescent="0.25">
      <c r="B38" s="2387"/>
      <c r="C38" s="1874"/>
    </row>
    <row r="39" spans="2:3" hidden="1" x14ac:dyDescent="0.25">
      <c r="B39" s="2387"/>
      <c r="C39" s="1874"/>
    </row>
    <row r="40" spans="2:3" hidden="1" x14ac:dyDescent="0.25">
      <c r="B40" s="2387"/>
      <c r="C40" s="1874"/>
    </row>
    <row r="41" spans="2:3" hidden="1" x14ac:dyDescent="0.25">
      <c r="B41" s="2387"/>
      <c r="C41" s="1874"/>
    </row>
    <row r="42" spans="2:3" hidden="1" x14ac:dyDescent="0.25">
      <c r="B42" s="2387"/>
      <c r="C42" s="1874"/>
    </row>
    <row r="43" spans="2:3" x14ac:dyDescent="0.25">
      <c r="B43" s="1881" t="s">
        <v>1295</v>
      </c>
      <c r="C43" s="1882"/>
    </row>
    <row r="44" spans="2:3" ht="137.25" customHeight="1" x14ac:dyDescent="0.25">
      <c r="B44" s="3688" t="s">
        <v>2979</v>
      </c>
      <c r="C44" s="3689"/>
    </row>
    <row r="46" spans="2:3" x14ac:dyDescent="0.25">
      <c r="B46" s="3690"/>
      <c r="C46" s="3690"/>
    </row>
  </sheetData>
  <mergeCells count="5">
    <mergeCell ref="B1:C1"/>
    <mergeCell ref="B2:C2"/>
    <mergeCell ref="B29:C29"/>
    <mergeCell ref="B44:C44"/>
    <mergeCell ref="B46:C46"/>
  </mergeCells>
  <pageMargins left="0.45" right="0.17" top="0.75" bottom="0.75" header="0.3" footer="0.3"/>
  <pageSetup orientation="portrait" r:id="rId1"/>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120F56-FE8B-4079-962A-B9C59CC057A4}">
  <sheetPr>
    <tabColor theme="0"/>
    <pageSetUpPr fitToPage="1"/>
  </sheetPr>
  <dimension ref="B1:R70"/>
  <sheetViews>
    <sheetView showGridLines="0" view="pageBreakPreview" topLeftCell="A41" zoomScale="71" zoomScaleNormal="71" zoomScaleSheetLayoutView="71" workbookViewId="0">
      <selection activeCell="B81" sqref="B81"/>
    </sheetView>
  </sheetViews>
  <sheetFormatPr defaultRowHeight="15" x14ac:dyDescent="0.25"/>
  <cols>
    <col min="1" max="1" width="2.140625" customWidth="1"/>
    <col min="14" max="14" width="9" customWidth="1"/>
  </cols>
  <sheetData>
    <row r="1" spans="2:18" ht="17.25" customHeight="1" x14ac:dyDescent="0.25">
      <c r="N1" s="218"/>
    </row>
    <row r="2" spans="2:18" ht="25.5" customHeight="1" x14ac:dyDescent="0.25">
      <c r="B2" s="3691" t="s">
        <v>2241</v>
      </c>
      <c r="C2" s="3692"/>
      <c r="D2" s="3692"/>
      <c r="E2" s="3692"/>
      <c r="F2" s="3692"/>
      <c r="G2" s="3692"/>
      <c r="H2" s="3692"/>
      <c r="I2" s="3692"/>
      <c r="J2" s="3692"/>
      <c r="K2" s="3692"/>
      <c r="L2" s="3692"/>
      <c r="M2" s="3692"/>
      <c r="N2" s="3692"/>
      <c r="O2" s="3692"/>
      <c r="P2" s="3692"/>
      <c r="Q2" s="3692"/>
      <c r="R2" s="3693"/>
    </row>
    <row r="3" spans="2:18" x14ac:dyDescent="0.25">
      <c r="B3" s="218"/>
      <c r="C3" s="218"/>
      <c r="D3" s="218"/>
      <c r="E3" s="218"/>
      <c r="F3" s="218"/>
      <c r="G3" s="218"/>
      <c r="H3" s="218"/>
      <c r="I3" s="218"/>
      <c r="J3" s="218"/>
      <c r="K3" s="218"/>
      <c r="L3" s="218"/>
      <c r="M3" s="218"/>
      <c r="N3" s="218"/>
    </row>
    <row r="4" spans="2:18" x14ac:dyDescent="0.25">
      <c r="B4" s="218"/>
      <c r="C4" s="218"/>
      <c r="D4" s="218"/>
      <c r="E4" s="218"/>
      <c r="F4" s="218"/>
      <c r="G4" s="218"/>
      <c r="H4" s="218"/>
      <c r="I4" s="218"/>
      <c r="J4" s="218"/>
      <c r="K4" s="218"/>
      <c r="L4" s="218"/>
      <c r="M4" s="218"/>
      <c r="N4" s="218"/>
    </row>
    <row r="5" spans="2:18" x14ac:dyDescent="0.25">
      <c r="B5" s="218"/>
      <c r="C5" s="218"/>
      <c r="D5" s="218"/>
      <c r="E5" s="218"/>
      <c r="F5" s="218"/>
      <c r="G5" s="218"/>
      <c r="H5" s="218"/>
      <c r="I5" s="218"/>
      <c r="J5" s="218"/>
      <c r="K5" s="218"/>
      <c r="L5" s="218"/>
      <c r="M5" s="218"/>
      <c r="N5" s="218"/>
    </row>
    <row r="6" spans="2:18" x14ac:dyDescent="0.25">
      <c r="B6" s="218"/>
      <c r="C6" s="218"/>
      <c r="D6" s="218"/>
      <c r="E6" s="218"/>
      <c r="F6" s="218"/>
      <c r="G6" s="218"/>
      <c r="H6" s="218"/>
      <c r="I6" s="218"/>
      <c r="J6" s="218"/>
      <c r="K6" s="218"/>
      <c r="L6" s="218"/>
      <c r="M6" s="218"/>
      <c r="N6" s="218"/>
    </row>
    <row r="7" spans="2:18" x14ac:dyDescent="0.25">
      <c r="B7" s="218"/>
      <c r="C7" s="218"/>
      <c r="D7" s="218"/>
      <c r="E7" s="218"/>
      <c r="F7" s="218"/>
      <c r="G7" s="218"/>
      <c r="H7" s="218"/>
      <c r="I7" s="218"/>
      <c r="J7" s="218"/>
      <c r="K7" s="218"/>
      <c r="L7" s="218"/>
      <c r="M7" s="218"/>
      <c r="N7" s="514"/>
    </row>
    <row r="8" spans="2:18" x14ac:dyDescent="0.25">
      <c r="B8" s="218"/>
      <c r="C8" s="218"/>
      <c r="D8" s="218"/>
      <c r="E8" s="218"/>
      <c r="F8" s="218"/>
      <c r="G8" s="218"/>
      <c r="H8" s="218"/>
      <c r="I8" s="218"/>
      <c r="J8" s="218"/>
      <c r="K8" s="218"/>
      <c r="L8" s="218"/>
      <c r="M8" s="218"/>
      <c r="N8" s="514"/>
    </row>
    <row r="9" spans="2:18" x14ac:dyDescent="0.25">
      <c r="B9" s="218"/>
      <c r="C9" s="218"/>
      <c r="D9" s="218"/>
      <c r="E9" s="218"/>
      <c r="F9" s="218"/>
      <c r="G9" s="218"/>
      <c r="H9" s="218"/>
      <c r="I9" s="218"/>
      <c r="J9" s="218"/>
      <c r="K9" s="218"/>
      <c r="L9" s="218"/>
      <c r="M9" s="218"/>
      <c r="N9" s="218"/>
    </row>
    <row r="10" spans="2:18" x14ac:dyDescent="0.25">
      <c r="B10" s="218"/>
      <c r="C10" s="218"/>
      <c r="D10" s="218"/>
      <c r="E10" s="218"/>
      <c r="F10" s="218"/>
      <c r="G10" s="218"/>
      <c r="H10" s="218"/>
      <c r="I10" s="218"/>
      <c r="J10" s="218"/>
      <c r="K10" s="218"/>
      <c r="L10" s="218"/>
      <c r="M10" s="218"/>
      <c r="N10" s="218"/>
    </row>
    <row r="11" spans="2:18" x14ac:dyDescent="0.25">
      <c r="B11" s="218"/>
      <c r="C11" s="218"/>
      <c r="D11" s="218"/>
      <c r="E11" s="218"/>
      <c r="F11" s="218"/>
      <c r="G11" s="218"/>
      <c r="H11" s="218"/>
      <c r="I11" s="218"/>
      <c r="J11" s="218"/>
      <c r="K11" s="218"/>
      <c r="L11" s="218"/>
      <c r="M11" s="218"/>
      <c r="N11" s="218"/>
    </row>
    <row r="12" spans="2:18" x14ac:dyDescent="0.25">
      <c r="B12" s="218"/>
      <c r="C12" s="218"/>
      <c r="D12" s="218"/>
      <c r="E12" s="218"/>
      <c r="F12" s="218"/>
      <c r="G12" s="218"/>
      <c r="H12" s="218"/>
      <c r="I12" s="218"/>
      <c r="J12" s="218"/>
      <c r="K12" s="218"/>
      <c r="L12" s="218"/>
      <c r="M12" s="218"/>
      <c r="N12" s="218"/>
    </row>
    <row r="13" spans="2:18" x14ac:dyDescent="0.25">
      <c r="B13" s="218"/>
      <c r="C13" s="218"/>
      <c r="D13" s="218"/>
      <c r="E13" s="218"/>
      <c r="F13" s="218"/>
      <c r="G13" s="218"/>
      <c r="H13" s="218"/>
      <c r="I13" s="218"/>
      <c r="J13" s="218"/>
      <c r="K13" s="218"/>
      <c r="L13" s="218"/>
      <c r="M13" s="218"/>
      <c r="N13" s="218"/>
    </row>
    <row r="14" spans="2:18" x14ac:dyDescent="0.25">
      <c r="B14" s="218"/>
      <c r="C14" s="218"/>
      <c r="D14" s="218"/>
      <c r="E14" s="218"/>
      <c r="F14" s="218"/>
      <c r="G14" s="218"/>
      <c r="H14" s="218"/>
      <c r="I14" s="218"/>
      <c r="J14" s="218"/>
      <c r="K14" s="218"/>
      <c r="L14" s="218"/>
      <c r="M14" s="218"/>
      <c r="N14" s="218"/>
    </row>
    <row r="15" spans="2:18" x14ac:dyDescent="0.25">
      <c r="B15" s="218"/>
      <c r="C15" s="218"/>
      <c r="D15" s="218"/>
      <c r="E15" s="218"/>
      <c r="F15" s="218"/>
      <c r="G15" s="218"/>
      <c r="H15" s="218"/>
      <c r="I15" s="218"/>
      <c r="J15" s="218"/>
      <c r="K15" s="218"/>
      <c r="L15" s="218"/>
      <c r="M15" s="218"/>
      <c r="N15" s="218"/>
    </row>
    <row r="16" spans="2:18" x14ac:dyDescent="0.25">
      <c r="B16" s="218"/>
      <c r="C16" s="218"/>
      <c r="D16" s="218"/>
      <c r="E16" s="218"/>
      <c r="F16" s="218"/>
      <c r="G16" s="218"/>
      <c r="H16" s="218"/>
      <c r="I16" s="218"/>
      <c r="J16" s="218"/>
      <c r="K16" s="218"/>
      <c r="L16" s="218"/>
      <c r="M16" s="218"/>
      <c r="N16" s="218"/>
    </row>
    <row r="17" spans="2:18" x14ac:dyDescent="0.25">
      <c r="B17" s="218"/>
      <c r="C17" s="218"/>
      <c r="D17" s="218"/>
      <c r="E17" s="218"/>
      <c r="F17" s="218"/>
      <c r="G17" s="218"/>
      <c r="H17" s="218"/>
      <c r="I17" s="218"/>
      <c r="J17" s="218"/>
      <c r="K17" s="218"/>
      <c r="L17" s="218"/>
      <c r="M17" s="218"/>
      <c r="N17" s="218"/>
    </row>
    <row r="18" spans="2:18" x14ac:dyDescent="0.25">
      <c r="B18" s="218"/>
      <c r="C18" s="218"/>
      <c r="D18" s="218"/>
      <c r="E18" s="218"/>
      <c r="F18" s="218"/>
      <c r="G18" s="218"/>
      <c r="H18" s="218"/>
      <c r="I18" s="218"/>
      <c r="J18" s="218"/>
      <c r="K18" s="218"/>
      <c r="L18" s="218"/>
      <c r="M18" s="218"/>
      <c r="N18" s="218"/>
    </row>
    <row r="19" spans="2:18" x14ac:dyDescent="0.25">
      <c r="B19" s="218"/>
      <c r="C19" s="218"/>
      <c r="D19" s="218"/>
      <c r="E19" s="218"/>
      <c r="F19" s="218"/>
      <c r="G19" s="218"/>
      <c r="H19" s="218"/>
      <c r="I19" s="218"/>
      <c r="J19" s="218"/>
      <c r="K19" s="218"/>
      <c r="L19" s="218"/>
      <c r="M19" s="218"/>
      <c r="N19" s="218"/>
    </row>
    <row r="20" spans="2:18" x14ac:dyDescent="0.25">
      <c r="B20" s="218"/>
      <c r="C20" s="218"/>
      <c r="D20" s="218"/>
      <c r="E20" s="218"/>
      <c r="F20" s="218"/>
      <c r="G20" s="218"/>
      <c r="H20" s="218"/>
      <c r="I20" s="218"/>
      <c r="J20" s="218"/>
      <c r="K20" s="218"/>
      <c r="L20" s="218"/>
      <c r="M20" s="218"/>
      <c r="N20" s="218"/>
    </row>
    <row r="21" spans="2:18" x14ac:dyDescent="0.25">
      <c r="B21" s="218"/>
      <c r="C21" s="218"/>
      <c r="D21" s="218"/>
      <c r="E21" s="218"/>
      <c r="F21" s="218"/>
      <c r="G21" s="218"/>
      <c r="H21" s="218"/>
      <c r="I21" s="218"/>
      <c r="J21" s="218"/>
      <c r="K21" s="218"/>
      <c r="L21" s="218"/>
      <c r="M21" s="218"/>
      <c r="N21" s="218"/>
    </row>
    <row r="22" spans="2:18" x14ac:dyDescent="0.25">
      <c r="B22" s="218"/>
      <c r="C22" s="218"/>
      <c r="D22" s="218"/>
      <c r="E22" s="218"/>
      <c r="F22" s="218"/>
      <c r="G22" s="218"/>
      <c r="H22" s="218"/>
      <c r="I22" s="218"/>
      <c r="J22" s="218"/>
      <c r="K22" s="218"/>
      <c r="L22" s="218"/>
      <c r="M22" s="218"/>
      <c r="N22" s="218"/>
    </row>
    <row r="23" spans="2:18" x14ac:dyDescent="0.25">
      <c r="N23" s="218"/>
    </row>
    <row r="24" spans="2:18" x14ac:dyDescent="0.25">
      <c r="B24" s="218"/>
      <c r="C24" s="218"/>
      <c r="D24" s="218"/>
      <c r="E24" s="218"/>
      <c r="F24" s="218"/>
      <c r="G24" s="218"/>
      <c r="H24" s="218"/>
      <c r="I24" s="218"/>
      <c r="J24" s="218"/>
      <c r="K24" s="218"/>
      <c r="L24" s="218"/>
      <c r="M24" s="218"/>
      <c r="N24" s="218"/>
    </row>
    <row r="25" spans="2:18" x14ac:dyDescent="0.25">
      <c r="N25" s="218"/>
    </row>
    <row r="26" spans="2:18" x14ac:dyDescent="0.25">
      <c r="B26" s="218"/>
      <c r="C26" s="218"/>
      <c r="D26" s="218"/>
      <c r="E26" s="218"/>
      <c r="F26" s="218"/>
      <c r="G26" s="218"/>
      <c r="H26" s="218"/>
      <c r="I26" s="218"/>
      <c r="J26" s="218"/>
      <c r="K26" s="218"/>
      <c r="L26" s="218"/>
      <c r="M26" s="218"/>
      <c r="N26" s="218"/>
    </row>
    <row r="27" spans="2:18" x14ac:dyDescent="0.25">
      <c r="B27" s="218"/>
      <c r="C27" s="218"/>
      <c r="D27" s="218"/>
      <c r="E27" s="218"/>
      <c r="F27" s="218"/>
      <c r="G27" s="218"/>
      <c r="H27" s="218"/>
      <c r="I27" s="218"/>
      <c r="J27" s="218"/>
      <c r="K27" s="218"/>
      <c r="L27" s="218"/>
      <c r="M27" s="218"/>
      <c r="N27" s="218"/>
    </row>
    <row r="28" spans="2:18" ht="25.5" customHeight="1" x14ac:dyDescent="0.25">
      <c r="B28" s="3691" t="s">
        <v>1755</v>
      </c>
      <c r="C28" s="3692"/>
      <c r="D28" s="3692"/>
      <c r="E28" s="3692"/>
      <c r="F28" s="3692"/>
      <c r="G28" s="3692"/>
      <c r="H28" s="3692"/>
      <c r="I28" s="3692"/>
      <c r="J28" s="3692"/>
      <c r="K28" s="3692"/>
      <c r="L28" s="3692"/>
      <c r="M28" s="3692"/>
      <c r="N28" s="3692"/>
      <c r="O28" s="3692"/>
      <c r="P28" s="3692"/>
      <c r="Q28" s="3692"/>
      <c r="R28" s="3693"/>
    </row>
    <row r="29" spans="2:18" x14ac:dyDescent="0.25">
      <c r="B29" s="218"/>
      <c r="C29" s="218"/>
      <c r="D29" s="218"/>
      <c r="E29" s="218"/>
      <c r="F29" s="218"/>
      <c r="G29" s="218"/>
      <c r="H29" s="218"/>
      <c r="I29" s="218"/>
      <c r="J29" s="218"/>
      <c r="K29" s="218"/>
      <c r="L29" s="218"/>
      <c r="M29" s="218"/>
      <c r="N29" s="218"/>
    </row>
    <row r="30" spans="2:18" x14ac:dyDescent="0.25">
      <c r="B30" s="218"/>
      <c r="C30" s="218"/>
      <c r="D30" s="218"/>
      <c r="E30" s="218"/>
      <c r="F30" s="218"/>
      <c r="G30" s="218"/>
      <c r="H30" s="218"/>
      <c r="I30" s="218"/>
      <c r="J30" s="218"/>
      <c r="K30" s="218"/>
      <c r="L30" s="218"/>
      <c r="M30" s="218"/>
      <c r="N30" s="218"/>
    </row>
    <row r="31" spans="2:18" x14ac:dyDescent="0.25">
      <c r="B31" s="218"/>
      <c r="C31" s="218"/>
      <c r="D31" s="218"/>
      <c r="E31" s="218"/>
      <c r="F31" s="218"/>
      <c r="G31" s="218"/>
      <c r="H31" s="218"/>
      <c r="I31" s="218"/>
      <c r="J31" s="218"/>
      <c r="K31" s="218"/>
      <c r="L31" s="218"/>
      <c r="M31" s="218"/>
      <c r="N31" s="218"/>
    </row>
    <row r="32" spans="2:18" x14ac:dyDescent="0.25">
      <c r="B32" s="218"/>
      <c r="C32" s="218"/>
      <c r="D32" s="218"/>
      <c r="E32" s="218"/>
      <c r="F32" s="218"/>
      <c r="G32" s="218"/>
      <c r="H32" s="218"/>
      <c r="I32" s="218"/>
      <c r="J32" s="218"/>
      <c r="K32" s="218"/>
      <c r="L32" s="218"/>
      <c r="M32" s="218"/>
      <c r="N32" s="218"/>
    </row>
    <row r="33" spans="2:14" x14ac:dyDescent="0.25">
      <c r="B33" s="218"/>
      <c r="C33" s="218"/>
      <c r="D33" s="218"/>
      <c r="E33" s="218"/>
      <c r="F33" s="218"/>
      <c r="G33" s="218"/>
      <c r="H33" s="218"/>
      <c r="I33" s="218"/>
      <c r="J33" s="218"/>
      <c r="K33" s="218"/>
      <c r="L33" s="218"/>
      <c r="M33" s="218"/>
      <c r="N33" s="218"/>
    </row>
    <row r="34" spans="2:14" x14ac:dyDescent="0.25">
      <c r="B34" s="3694"/>
      <c r="C34" s="3694"/>
      <c r="D34" s="3694"/>
      <c r="E34" s="3694"/>
      <c r="F34" s="3694"/>
      <c r="G34" s="3694"/>
      <c r="H34" s="3694"/>
      <c r="I34" s="3694"/>
      <c r="J34" s="3694"/>
      <c r="K34" s="3694"/>
      <c r="L34" s="3694"/>
      <c r="M34" s="3694"/>
      <c r="N34" s="218"/>
    </row>
    <row r="35" spans="2:14" x14ac:dyDescent="0.25">
      <c r="B35" s="3694"/>
      <c r="C35" s="3694"/>
      <c r="D35" s="3694"/>
      <c r="E35" s="3694"/>
      <c r="F35" s="3694"/>
      <c r="G35" s="3694"/>
      <c r="H35" s="3694"/>
      <c r="I35" s="3694"/>
      <c r="J35" s="3694"/>
      <c r="K35" s="3694"/>
      <c r="L35" s="3694"/>
      <c r="M35" s="3694"/>
      <c r="N35" s="218"/>
    </row>
    <row r="36" spans="2:14" x14ac:dyDescent="0.25">
      <c r="B36" s="218"/>
      <c r="C36" s="218"/>
      <c r="D36" s="218"/>
      <c r="E36" s="218"/>
      <c r="F36" s="218"/>
      <c r="G36" s="218"/>
      <c r="H36" s="218"/>
      <c r="I36" s="218"/>
      <c r="J36" s="218"/>
      <c r="K36" s="218"/>
      <c r="L36" s="218"/>
      <c r="M36" s="218"/>
      <c r="N36" s="218"/>
    </row>
    <row r="37" spans="2:14" x14ac:dyDescent="0.25">
      <c r="B37" s="218"/>
      <c r="C37" s="218"/>
      <c r="D37" s="218"/>
      <c r="E37" s="218"/>
      <c r="F37" s="218"/>
      <c r="G37" s="218"/>
      <c r="H37" s="218"/>
      <c r="I37" s="218"/>
      <c r="J37" s="218"/>
      <c r="K37" s="218"/>
      <c r="L37" s="218"/>
      <c r="M37" s="218"/>
      <c r="N37" s="218"/>
    </row>
    <row r="38" spans="2:14" x14ac:dyDescent="0.25">
      <c r="B38" s="218"/>
      <c r="C38" s="218"/>
      <c r="D38" s="218"/>
      <c r="E38" s="218"/>
      <c r="F38" s="218"/>
      <c r="G38" s="218"/>
      <c r="H38" s="218"/>
      <c r="I38" s="218"/>
      <c r="J38" s="218"/>
      <c r="K38" s="218"/>
      <c r="L38" s="218"/>
      <c r="M38" s="218"/>
      <c r="N38" s="218"/>
    </row>
    <row r="39" spans="2:14" x14ac:dyDescent="0.25">
      <c r="B39" s="218"/>
      <c r="C39" s="218"/>
      <c r="D39" s="218"/>
      <c r="E39" s="218"/>
      <c r="F39" s="218"/>
      <c r="G39" s="218"/>
      <c r="H39" s="218"/>
      <c r="I39" s="218"/>
      <c r="J39" s="218"/>
      <c r="K39" s="218"/>
      <c r="L39" s="218"/>
      <c r="M39" s="218"/>
      <c r="N39" s="218"/>
    </row>
    <row r="40" spans="2:14" x14ac:dyDescent="0.25">
      <c r="B40" s="218"/>
      <c r="C40" s="218"/>
      <c r="D40" s="218"/>
      <c r="E40" s="218"/>
      <c r="F40" s="218"/>
      <c r="G40" s="218"/>
      <c r="H40" s="218"/>
      <c r="I40" s="218"/>
      <c r="J40" s="218"/>
      <c r="K40" s="218"/>
      <c r="L40" s="218"/>
      <c r="M40" s="218"/>
      <c r="N40" s="218"/>
    </row>
    <row r="41" spans="2:14" x14ac:dyDescent="0.25">
      <c r="B41" s="218"/>
      <c r="C41" s="218"/>
      <c r="D41" s="218"/>
      <c r="E41" s="218"/>
      <c r="F41" s="218"/>
      <c r="G41" s="218"/>
      <c r="H41" s="218"/>
      <c r="I41" s="218"/>
      <c r="J41" s="218"/>
      <c r="K41" s="218"/>
      <c r="L41" s="218"/>
      <c r="M41" s="218"/>
      <c r="N41" s="514"/>
    </row>
    <row r="42" spans="2:14" x14ac:dyDescent="0.25">
      <c r="B42" s="218"/>
      <c r="C42" s="218"/>
      <c r="D42" s="218"/>
      <c r="E42" s="218"/>
      <c r="F42" s="218"/>
      <c r="G42" s="218"/>
      <c r="H42" s="218"/>
      <c r="I42" s="218"/>
      <c r="J42" s="218"/>
      <c r="K42" s="218"/>
      <c r="L42" s="218"/>
      <c r="M42" s="218"/>
      <c r="N42" s="514"/>
    </row>
    <row r="43" spans="2:14" x14ac:dyDescent="0.25">
      <c r="B43" s="218"/>
      <c r="C43" s="218"/>
      <c r="D43" s="218"/>
      <c r="E43" s="218"/>
      <c r="F43" s="218"/>
      <c r="G43" s="218"/>
      <c r="H43" s="218"/>
      <c r="I43" s="218"/>
      <c r="J43" s="218"/>
      <c r="K43" s="218"/>
      <c r="L43" s="218"/>
      <c r="M43" s="218"/>
      <c r="N43" s="218"/>
    </row>
    <row r="44" spans="2:14" x14ac:dyDescent="0.25">
      <c r="B44" s="218"/>
      <c r="C44" s="218"/>
      <c r="D44" s="218"/>
      <c r="E44" s="218"/>
      <c r="F44" s="218"/>
      <c r="G44" s="218"/>
      <c r="H44" s="218"/>
      <c r="I44" s="218"/>
      <c r="J44" s="218"/>
      <c r="K44" s="218"/>
      <c r="L44" s="218"/>
      <c r="M44" s="218"/>
      <c r="N44" s="218"/>
    </row>
    <row r="45" spans="2:14" x14ac:dyDescent="0.25">
      <c r="B45" s="218"/>
      <c r="C45" s="218"/>
      <c r="D45" s="218"/>
      <c r="E45" s="218"/>
      <c r="F45" s="218"/>
      <c r="G45" s="218"/>
      <c r="H45" s="218"/>
      <c r="I45" s="218"/>
      <c r="J45" s="218"/>
      <c r="K45" s="218"/>
      <c r="L45" s="218"/>
      <c r="M45" s="218"/>
      <c r="N45" s="218"/>
    </row>
    <row r="46" spans="2:14" x14ac:dyDescent="0.25">
      <c r="B46" s="218"/>
      <c r="C46" s="218"/>
      <c r="D46" s="218"/>
      <c r="E46" s="218"/>
      <c r="F46" s="218"/>
      <c r="G46" s="218"/>
      <c r="H46" s="218"/>
      <c r="I46" s="218"/>
      <c r="J46" s="218"/>
      <c r="K46" s="218"/>
      <c r="L46" s="218"/>
      <c r="M46" s="218"/>
      <c r="N46" s="218"/>
    </row>
    <row r="47" spans="2:14" x14ac:dyDescent="0.25">
      <c r="B47" s="218"/>
      <c r="C47" s="218"/>
      <c r="D47" s="218"/>
      <c r="E47" s="218"/>
      <c r="F47" s="218"/>
      <c r="G47" s="218"/>
      <c r="H47" s="218"/>
      <c r="I47" s="218"/>
      <c r="J47" s="218"/>
      <c r="K47" s="218"/>
      <c r="L47" s="218"/>
      <c r="M47" s="218"/>
      <c r="N47" s="218"/>
    </row>
    <row r="48" spans="2:14" x14ac:dyDescent="0.25">
      <c r="B48" s="218"/>
      <c r="C48" s="218"/>
      <c r="D48" s="218"/>
      <c r="E48" s="218"/>
      <c r="F48" s="218"/>
      <c r="G48" s="218"/>
      <c r="H48" s="218"/>
      <c r="I48" s="218"/>
      <c r="J48" s="218"/>
      <c r="K48" s="218"/>
      <c r="L48" s="218"/>
      <c r="M48" s="218"/>
      <c r="N48" s="218"/>
    </row>
    <row r="49" spans="2:14" x14ac:dyDescent="0.25">
      <c r="B49" s="218"/>
      <c r="C49" s="218"/>
      <c r="D49" s="218"/>
      <c r="E49" s="218"/>
      <c r="F49" s="218"/>
      <c r="G49" s="218"/>
      <c r="H49" s="218"/>
      <c r="I49" s="218"/>
      <c r="J49" s="218"/>
      <c r="K49" s="218"/>
      <c r="L49" s="218"/>
      <c r="M49" s="218"/>
      <c r="N49" s="218"/>
    </row>
    <row r="50" spans="2:14" x14ac:dyDescent="0.25">
      <c r="B50" s="218"/>
      <c r="C50" s="218"/>
      <c r="D50" s="218"/>
      <c r="E50" s="218"/>
      <c r="F50" s="218"/>
      <c r="G50" s="218"/>
      <c r="H50" s="218"/>
      <c r="I50" s="218"/>
      <c r="J50" s="218"/>
      <c r="K50" s="218"/>
      <c r="L50" s="218"/>
      <c r="M50" s="218"/>
      <c r="N50" s="218"/>
    </row>
    <row r="51" spans="2:14" x14ac:dyDescent="0.25">
      <c r="B51" s="218"/>
      <c r="C51" s="218"/>
      <c r="D51" s="218"/>
      <c r="E51" s="218"/>
      <c r="F51" s="218"/>
      <c r="G51" s="218"/>
      <c r="H51" s="218"/>
      <c r="I51" s="218"/>
      <c r="J51" s="218"/>
      <c r="K51" s="218"/>
      <c r="L51" s="218"/>
      <c r="M51" s="218"/>
      <c r="N51" s="218"/>
    </row>
    <row r="52" spans="2:14" x14ac:dyDescent="0.25">
      <c r="B52" s="218"/>
      <c r="C52" s="218"/>
      <c r="D52" s="218"/>
      <c r="E52" s="218"/>
      <c r="F52" s="218"/>
      <c r="G52" s="218"/>
      <c r="H52" s="218"/>
      <c r="I52" s="218"/>
      <c r="J52" s="218"/>
      <c r="K52" s="218"/>
      <c r="L52" s="218"/>
      <c r="M52" s="218"/>
      <c r="N52" s="218"/>
    </row>
    <row r="53" spans="2:14" x14ac:dyDescent="0.25">
      <c r="B53" s="218"/>
      <c r="C53" s="218"/>
      <c r="D53" s="218"/>
      <c r="E53" s="218"/>
      <c r="F53" s="218"/>
      <c r="G53" s="218"/>
      <c r="H53" s="218"/>
      <c r="I53" s="218"/>
      <c r="J53" s="218"/>
      <c r="K53" s="218"/>
      <c r="L53" s="218"/>
      <c r="M53" s="218"/>
      <c r="N53" s="218"/>
    </row>
    <row r="54" spans="2:14" x14ac:dyDescent="0.25">
      <c r="B54" s="218"/>
      <c r="C54" s="218"/>
      <c r="D54" s="218"/>
      <c r="E54" s="218"/>
      <c r="F54" s="218"/>
      <c r="G54" s="218"/>
      <c r="H54" s="218"/>
      <c r="I54" s="218"/>
      <c r="J54" s="218"/>
      <c r="K54" s="218"/>
      <c r="L54" s="218"/>
      <c r="M54" s="218"/>
      <c r="N54" s="218"/>
    </row>
    <row r="55" spans="2:14" x14ac:dyDescent="0.25">
      <c r="B55" s="218"/>
      <c r="C55" s="218"/>
      <c r="D55" s="218"/>
      <c r="E55" s="218"/>
      <c r="F55" s="218"/>
      <c r="G55" s="218"/>
      <c r="H55" s="218"/>
      <c r="I55" s="218"/>
      <c r="J55" s="218"/>
      <c r="K55" s="218"/>
      <c r="L55" s="218"/>
      <c r="M55" s="218"/>
      <c r="N55" s="218"/>
    </row>
    <row r="56" spans="2:14" x14ac:dyDescent="0.25">
      <c r="B56" s="218"/>
      <c r="C56" s="218"/>
      <c r="D56" s="218"/>
      <c r="E56" s="218"/>
      <c r="F56" s="218"/>
      <c r="G56" s="218"/>
      <c r="H56" s="218"/>
      <c r="I56" s="218"/>
      <c r="J56" s="218"/>
      <c r="K56" s="218"/>
      <c r="L56" s="218"/>
      <c r="M56" s="218"/>
      <c r="N56" s="218"/>
    </row>
    <row r="57" spans="2:14" x14ac:dyDescent="0.25">
      <c r="B57" s="218"/>
      <c r="C57" s="218"/>
      <c r="D57" s="218"/>
      <c r="E57" s="218"/>
      <c r="F57" s="218"/>
      <c r="G57" s="218"/>
      <c r="H57" s="218"/>
      <c r="I57" s="218"/>
      <c r="J57" s="3695"/>
      <c r="K57" s="3695"/>
      <c r="L57" s="218"/>
      <c r="M57" s="218"/>
      <c r="N57" s="218"/>
    </row>
    <row r="58" spans="2:14" x14ac:dyDescent="0.25">
      <c r="B58" s="218"/>
      <c r="C58" s="218"/>
      <c r="D58" s="218"/>
      <c r="E58" s="218"/>
      <c r="F58" s="218"/>
      <c r="G58" s="218"/>
      <c r="H58" s="218"/>
      <c r="I58" s="218"/>
      <c r="J58" s="218"/>
      <c r="K58" s="218"/>
      <c r="L58" s="218"/>
      <c r="M58" s="218"/>
      <c r="N58" s="218"/>
    </row>
    <row r="59" spans="2:14" x14ac:dyDescent="0.25">
      <c r="B59" s="515"/>
      <c r="C59" s="218"/>
      <c r="D59" s="218"/>
      <c r="E59" s="218"/>
      <c r="F59" s="218"/>
      <c r="G59" s="218"/>
      <c r="H59" s="218"/>
      <c r="I59" s="218"/>
      <c r="J59" s="218"/>
      <c r="K59" s="218"/>
      <c r="L59" s="218"/>
      <c r="M59" s="218"/>
      <c r="N59" s="218"/>
    </row>
    <row r="70" spans="2:2" x14ac:dyDescent="0.25">
      <c r="B70" s="65"/>
    </row>
  </sheetData>
  <mergeCells count="5">
    <mergeCell ref="B2:R2"/>
    <mergeCell ref="B28:R28"/>
    <mergeCell ref="B34:M34"/>
    <mergeCell ref="B35:M35"/>
    <mergeCell ref="J57:K57"/>
  </mergeCells>
  <pageMargins left="0.7" right="0.7" top="0.75" bottom="0.75" header="0.3" footer="0.3"/>
  <pageSetup paperSize="9" scale="52" orientation="portrait"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02C7FD-4D94-4F68-BB13-ACE1D8E4CB1A}">
  <sheetPr>
    <tabColor theme="0"/>
    <pageSetUpPr fitToPage="1"/>
  </sheetPr>
  <dimension ref="B1:D86"/>
  <sheetViews>
    <sheetView showGridLines="0" view="pageBreakPreview" zoomScaleNormal="100" zoomScaleSheetLayoutView="100" workbookViewId="0">
      <selection activeCell="B81" sqref="B81"/>
    </sheetView>
  </sheetViews>
  <sheetFormatPr defaultColWidth="9.140625" defaultRowHeight="15" x14ac:dyDescent="0.25"/>
  <cols>
    <col min="1" max="1" width="2.7109375" style="17" customWidth="1"/>
    <col min="2" max="2" width="33.7109375" style="17" customWidth="1"/>
    <col min="3" max="3" width="20.5703125" style="1897" bestFit="1" customWidth="1"/>
    <col min="4" max="4" width="13" style="483" bestFit="1" customWidth="1"/>
    <col min="5" max="16384" width="9.140625" style="17"/>
  </cols>
  <sheetData>
    <row r="1" spans="2:4" x14ac:dyDescent="0.25">
      <c r="B1" s="3700" t="s">
        <v>1756</v>
      </c>
      <c r="C1" s="3700"/>
      <c r="D1" s="3700"/>
    </row>
    <row r="2" spans="2:4" x14ac:dyDescent="0.25">
      <c r="B2" s="3701"/>
      <c r="C2" s="3701"/>
      <c r="D2" s="3701"/>
    </row>
    <row r="3" spans="2:4" ht="30" x14ac:dyDescent="0.25">
      <c r="B3" s="1893" t="s">
        <v>1757</v>
      </c>
      <c r="C3" s="1885" t="s">
        <v>117</v>
      </c>
      <c r="D3" s="1885" t="s">
        <v>2980</v>
      </c>
    </row>
    <row r="4" spans="2:4" ht="30" x14ac:dyDescent="0.25">
      <c r="B4" s="1884" t="s">
        <v>1758</v>
      </c>
      <c r="C4" s="1885" t="s">
        <v>1759</v>
      </c>
      <c r="D4" s="2390">
        <f>+D7-D6-D5</f>
        <v>55.64</v>
      </c>
    </row>
    <row r="5" spans="2:4" x14ac:dyDescent="0.25">
      <c r="B5" s="1886" t="s">
        <v>1760</v>
      </c>
      <c r="C5" s="1887" t="s">
        <v>1759</v>
      </c>
      <c r="D5" s="2391">
        <v>3.41</v>
      </c>
    </row>
    <row r="6" spans="2:4" ht="33" customHeight="1" x14ac:dyDescent="0.25">
      <c r="B6" s="1886" t="s">
        <v>1761</v>
      </c>
      <c r="C6" s="1887" t="s">
        <v>1759</v>
      </c>
      <c r="D6" s="2391">
        <v>2.95</v>
      </c>
    </row>
    <row r="7" spans="2:4" x14ac:dyDescent="0.25">
      <c r="B7" s="1884" t="s">
        <v>1762</v>
      </c>
      <c r="C7" s="1885" t="s">
        <v>1759</v>
      </c>
      <c r="D7" s="2392">
        <v>62</v>
      </c>
    </row>
    <row r="8" spans="2:4" x14ac:dyDescent="0.25">
      <c r="B8" s="1888" t="s">
        <v>1763</v>
      </c>
      <c r="C8" s="3702"/>
      <c r="D8" s="3702"/>
    </row>
    <row r="9" spans="2:4" ht="14.25" customHeight="1" x14ac:dyDescent="0.25">
      <c r="B9" s="1889"/>
      <c r="C9" s="1890"/>
      <c r="D9" s="1891"/>
    </row>
    <row r="10" spans="2:4" x14ac:dyDescent="0.25">
      <c r="B10" s="3700" t="s">
        <v>1764</v>
      </c>
      <c r="C10" s="3700"/>
      <c r="D10" s="3700"/>
    </row>
    <row r="11" spans="2:4" x14ac:dyDescent="0.25">
      <c r="B11" s="1892"/>
      <c r="C11" s="1883"/>
      <c r="D11" s="1883"/>
    </row>
    <row r="12" spans="2:4" ht="30" x14ac:dyDescent="0.25">
      <c r="B12" s="1885" t="s">
        <v>1757</v>
      </c>
      <c r="C12" s="1885" t="s">
        <v>117</v>
      </c>
      <c r="D12" s="1885" t="str">
        <f>+D3</f>
        <v>As on 
01.07.2026</v>
      </c>
    </row>
    <row r="13" spans="2:4" ht="30" x14ac:dyDescent="0.25">
      <c r="B13" s="1893" t="s">
        <v>1765</v>
      </c>
      <c r="C13" s="1894" t="s">
        <v>1766</v>
      </c>
      <c r="D13" s="2390">
        <f>+D16-D15-D14</f>
        <v>824.04</v>
      </c>
    </row>
    <row r="14" spans="2:4" ht="32.25" customHeight="1" x14ac:dyDescent="0.25">
      <c r="B14" s="1895" t="s">
        <v>1767</v>
      </c>
      <c r="C14" s="1896" t="s">
        <v>1766</v>
      </c>
      <c r="D14" s="2391">
        <v>73.08</v>
      </c>
    </row>
    <row r="15" spans="2:4" ht="36.75" customHeight="1" x14ac:dyDescent="0.25">
      <c r="B15" s="1895" t="s">
        <v>2527</v>
      </c>
      <c r="C15" s="1896" t="s">
        <v>1766</v>
      </c>
      <c r="D15" s="2391">
        <v>44.88</v>
      </c>
    </row>
    <row r="16" spans="2:4" ht="33" customHeight="1" x14ac:dyDescent="0.25">
      <c r="B16" s="1884" t="s">
        <v>1762</v>
      </c>
      <c r="C16" s="1885" t="s">
        <v>1766</v>
      </c>
      <c r="D16" s="2392">
        <v>942</v>
      </c>
    </row>
    <row r="17" spans="2:4" x14ac:dyDescent="0.25">
      <c r="B17" s="1888" t="s">
        <v>1763</v>
      </c>
    </row>
    <row r="19" spans="2:4" x14ac:dyDescent="0.25">
      <c r="B19" s="3696" t="s">
        <v>1768</v>
      </c>
      <c r="C19" s="3697"/>
      <c r="D19" s="3698"/>
    </row>
    <row r="20" spans="2:4" x14ac:dyDescent="0.25">
      <c r="B20" s="3703"/>
      <c r="C20" s="3703"/>
      <c r="D20" s="3703"/>
    </row>
    <row r="21" spans="2:4" ht="30" x14ac:dyDescent="0.25">
      <c r="B21" s="1885" t="s">
        <v>1757</v>
      </c>
      <c r="C21" s="1885" t="s">
        <v>117</v>
      </c>
      <c r="D21" s="1885" t="str">
        <f>+D12</f>
        <v>As on 
01.07.2026</v>
      </c>
    </row>
    <row r="22" spans="2:4" ht="30" x14ac:dyDescent="0.25">
      <c r="B22" s="1898" t="s">
        <v>2849</v>
      </c>
      <c r="C22" s="1894" t="s">
        <v>1759</v>
      </c>
      <c r="D22" s="2391">
        <f>D26-D25-D24</f>
        <v>81.08</v>
      </c>
    </row>
    <row r="23" spans="2:4" ht="15.75" hidden="1" customHeight="1" x14ac:dyDescent="0.25">
      <c r="B23" s="1899" t="s">
        <v>1769</v>
      </c>
      <c r="C23" s="1896" t="s">
        <v>1759</v>
      </c>
      <c r="D23" s="2391">
        <v>11.9</v>
      </c>
    </row>
    <row r="24" spans="2:4" x14ac:dyDescent="0.25">
      <c r="B24" s="1900" t="s">
        <v>1770</v>
      </c>
      <c r="C24" s="1896" t="s">
        <v>1759</v>
      </c>
      <c r="D24" s="2391">
        <v>4.45</v>
      </c>
    </row>
    <row r="25" spans="2:4" ht="30" x14ac:dyDescent="0.25">
      <c r="B25" s="1901" t="s">
        <v>1771</v>
      </c>
      <c r="C25" s="1896" t="s">
        <v>1759</v>
      </c>
      <c r="D25" s="2391">
        <v>16.59</v>
      </c>
    </row>
    <row r="26" spans="2:4" x14ac:dyDescent="0.25">
      <c r="B26" s="2388" t="s">
        <v>1762</v>
      </c>
      <c r="C26" s="2389" t="s">
        <v>1759</v>
      </c>
      <c r="D26" s="2390">
        <v>102.12</v>
      </c>
    </row>
    <row r="27" spans="2:4" x14ac:dyDescent="0.25">
      <c r="B27" s="1888" t="s">
        <v>1763</v>
      </c>
      <c r="C27" s="1902"/>
      <c r="D27" s="838"/>
    </row>
    <row r="28" spans="2:4" x14ac:dyDescent="0.25">
      <c r="B28" s="1888"/>
      <c r="C28" s="1902"/>
      <c r="D28" s="838"/>
    </row>
    <row r="29" spans="2:4" x14ac:dyDescent="0.25">
      <c r="B29" s="3696" t="s">
        <v>1772</v>
      </c>
      <c r="C29" s="3697"/>
      <c r="D29" s="3698"/>
    </row>
    <row r="30" spans="2:4" x14ac:dyDescent="0.25">
      <c r="B30" s="3699"/>
      <c r="C30" s="3699"/>
      <c r="D30" s="3699"/>
    </row>
    <row r="31" spans="2:4" ht="30" x14ac:dyDescent="0.25">
      <c r="B31" s="1885" t="s">
        <v>1757</v>
      </c>
      <c r="C31" s="1885" t="s">
        <v>117</v>
      </c>
      <c r="D31" s="1885" t="str">
        <f>+D21</f>
        <v>As on 
01.07.2026</v>
      </c>
    </row>
    <row r="32" spans="2:4" ht="30" x14ac:dyDescent="0.25">
      <c r="B32" s="1898" t="s">
        <v>2850</v>
      </c>
      <c r="C32" s="1894" t="s">
        <v>1759</v>
      </c>
      <c r="D32" s="1903">
        <f>D36-D35-D34</f>
        <v>78.25</v>
      </c>
    </row>
    <row r="33" spans="2:4" ht="18" hidden="1" customHeight="1" x14ac:dyDescent="0.25">
      <c r="B33" s="1904" t="s">
        <v>1769</v>
      </c>
      <c r="C33" s="1896" t="s">
        <v>1759</v>
      </c>
      <c r="D33" s="1903">
        <v>7.8</v>
      </c>
    </row>
    <row r="34" spans="2:4" x14ac:dyDescent="0.25">
      <c r="B34" s="1905" t="s">
        <v>1770</v>
      </c>
      <c r="C34" s="1896" t="s">
        <v>1759</v>
      </c>
      <c r="D34" s="1903">
        <v>3.04</v>
      </c>
    </row>
    <row r="35" spans="2:4" ht="30" x14ac:dyDescent="0.25">
      <c r="B35" s="1901" t="s">
        <v>1773</v>
      </c>
      <c r="C35" s="1896" t="s">
        <v>1759</v>
      </c>
      <c r="D35" s="1903">
        <v>13.91</v>
      </c>
    </row>
    <row r="36" spans="2:4" x14ac:dyDescent="0.25">
      <c r="B36" s="2388" t="s">
        <v>1774</v>
      </c>
      <c r="C36" s="2389" t="s">
        <v>1759</v>
      </c>
      <c r="D36" s="2390">
        <v>95.2</v>
      </c>
    </row>
    <row r="37" spans="2:4" x14ac:dyDescent="0.25">
      <c r="B37" s="1888" t="s">
        <v>1763</v>
      </c>
      <c r="C37" s="1902"/>
      <c r="D37" s="838"/>
    </row>
    <row r="85" spans="2:2" x14ac:dyDescent="0.25">
      <c r="B85" s="1906"/>
    </row>
    <row r="86" spans="2:2" x14ac:dyDescent="0.25">
      <c r="B86" s="1906"/>
    </row>
  </sheetData>
  <mergeCells count="8">
    <mergeCell ref="B29:D29"/>
    <mergeCell ref="B30:D30"/>
    <mergeCell ref="B1:D1"/>
    <mergeCell ref="B2:D2"/>
    <mergeCell ref="C8:D8"/>
    <mergeCell ref="B10:D10"/>
    <mergeCell ref="B19:D19"/>
    <mergeCell ref="B20:D20"/>
  </mergeCells>
  <pageMargins left="0.7" right="0.7" top="0.75" bottom="0.75" header="0.3" footer="0.3"/>
  <pageSetup paperSize="9" scale="96" orientation="portrait" r:id="rId1"/>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11D8DB-3627-481C-B0C6-3B04CF4B9ED0}">
  <sheetPr>
    <tabColor theme="0"/>
    <pageSetUpPr fitToPage="1"/>
  </sheetPr>
  <dimension ref="B1:G96"/>
  <sheetViews>
    <sheetView showGridLines="0" view="pageBreakPreview" topLeftCell="A57" zoomScaleNormal="100" zoomScaleSheetLayoutView="100" workbookViewId="0">
      <selection activeCell="F74" sqref="F74"/>
    </sheetView>
  </sheetViews>
  <sheetFormatPr defaultColWidth="9.140625" defaultRowHeight="15" x14ac:dyDescent="0.25"/>
  <cols>
    <col min="1" max="1" width="2.5703125" style="219" customWidth="1"/>
    <col min="2" max="2" width="43" style="219" customWidth="1"/>
    <col min="3" max="3" width="13.5703125" style="219" bestFit="1" customWidth="1"/>
    <col min="4" max="4" width="15.7109375" style="219" customWidth="1"/>
    <col min="5" max="5" width="9.140625" style="219"/>
    <col min="6" max="6" width="12.140625" style="219" customWidth="1"/>
    <col min="7" max="16384" width="9.140625" style="219"/>
  </cols>
  <sheetData>
    <row r="1" spans="2:6" ht="36.75" customHeight="1" x14ac:dyDescent="0.25">
      <c r="B1" s="3704" t="s">
        <v>2981</v>
      </c>
      <c r="C1" s="3705"/>
      <c r="D1" s="3706"/>
      <c r="E1" s="1970"/>
      <c r="F1" s="1970"/>
    </row>
    <row r="2" spans="2:6" x14ac:dyDescent="0.25">
      <c r="B2" s="3707" t="s">
        <v>1775</v>
      </c>
      <c r="C2" s="3707"/>
      <c r="D2" s="3707"/>
      <c r="E2" s="1970"/>
      <c r="F2" s="1970"/>
    </row>
    <row r="3" spans="2:6" x14ac:dyDescent="0.25">
      <c r="B3" s="2499" t="s">
        <v>4</v>
      </c>
      <c r="C3" s="2500" t="s">
        <v>1151</v>
      </c>
      <c r="D3" s="2500" t="s">
        <v>1154</v>
      </c>
      <c r="E3" s="1970"/>
      <c r="F3" s="1970"/>
    </row>
    <row r="4" spans="2:6" x14ac:dyDescent="0.25">
      <c r="B4" s="1907" t="s">
        <v>1780</v>
      </c>
      <c r="C4" s="1908">
        <v>1.4</v>
      </c>
      <c r="D4" s="1908">
        <v>1.8</v>
      </c>
      <c r="E4" s="1970"/>
      <c r="F4" s="1970"/>
    </row>
    <row r="5" spans="2:6" ht="30.75" customHeight="1" x14ac:dyDescent="0.25">
      <c r="B5" s="1907" t="s">
        <v>1781</v>
      </c>
      <c r="C5" s="1908">
        <f>18-5-8</f>
        <v>5</v>
      </c>
      <c r="D5" s="1908">
        <f>8-6</f>
        <v>2</v>
      </c>
      <c r="E5" s="1970"/>
      <c r="F5" s="1970"/>
    </row>
    <row r="6" spans="2:6" x14ac:dyDescent="0.25">
      <c r="B6" s="1907" t="s">
        <v>1782</v>
      </c>
      <c r="C6" s="1908">
        <v>3</v>
      </c>
      <c r="D6" s="1908">
        <v>0</v>
      </c>
      <c r="E6" s="1970"/>
      <c r="F6" s="1970"/>
    </row>
    <row r="7" spans="2:6" ht="30" x14ac:dyDescent="0.25">
      <c r="B7" s="1907" t="s">
        <v>1783</v>
      </c>
      <c r="C7" s="1908">
        <v>2.5</v>
      </c>
      <c r="D7" s="1908">
        <v>4</v>
      </c>
      <c r="E7" s="1970"/>
      <c r="F7" s="1970"/>
    </row>
    <row r="8" spans="2:6" x14ac:dyDescent="0.25">
      <c r="B8" s="2499" t="s">
        <v>1784</v>
      </c>
      <c r="C8" s="2501">
        <f>SUM(C4:C7)</f>
        <v>11.9</v>
      </c>
      <c r="D8" s="2501">
        <f>SUM(D4:D7)</f>
        <v>7.8</v>
      </c>
      <c r="E8" s="1970"/>
      <c r="F8" s="1970"/>
    </row>
    <row r="9" spans="2:6" ht="45.75" customHeight="1" x14ac:dyDescent="0.25">
      <c r="B9" s="3708" t="s">
        <v>2851</v>
      </c>
      <c r="C9" s="3709"/>
      <c r="D9" s="3710"/>
      <c r="E9" s="1970"/>
      <c r="F9" s="1970"/>
    </row>
    <row r="10" spans="2:6" x14ac:dyDescent="0.25">
      <c r="B10" s="1970"/>
      <c r="C10" s="1970"/>
      <c r="D10" s="1970"/>
      <c r="E10" s="1970"/>
      <c r="F10" s="1970"/>
    </row>
    <row r="11" spans="2:6" ht="30.95" customHeight="1" x14ac:dyDescent="0.25">
      <c r="B11" s="3704" t="s">
        <v>1785</v>
      </c>
      <c r="C11" s="3705"/>
      <c r="D11" s="3705"/>
      <c r="E11" s="3705"/>
      <c r="F11" s="3706"/>
    </row>
    <row r="12" spans="2:6" x14ac:dyDescent="0.25">
      <c r="B12" s="1970"/>
      <c r="C12" s="1970"/>
      <c r="D12" s="1970"/>
      <c r="E12" s="1970"/>
      <c r="F12" s="1970"/>
    </row>
    <row r="13" spans="2:6" ht="27.95" customHeight="1" x14ac:dyDescent="0.25">
      <c r="B13" s="3711" t="s">
        <v>1786</v>
      </c>
      <c r="C13" s="3704" t="s">
        <v>1787</v>
      </c>
      <c r="D13" s="3705"/>
      <c r="E13" s="3706"/>
      <c r="F13" s="3711" t="s">
        <v>1788</v>
      </c>
    </row>
    <row r="14" spans="2:6" ht="45" x14ac:dyDescent="0.25">
      <c r="B14" s="3712"/>
      <c r="C14" s="2418" t="s">
        <v>1789</v>
      </c>
      <c r="D14" s="2418" t="s">
        <v>1790</v>
      </c>
      <c r="E14" s="2502" t="s">
        <v>1152</v>
      </c>
      <c r="F14" s="3713"/>
    </row>
    <row r="15" spans="2:6" x14ac:dyDescent="0.25">
      <c r="B15" s="3713"/>
      <c r="C15" s="2500" t="s">
        <v>2242</v>
      </c>
      <c r="D15" s="2500" t="s">
        <v>2242</v>
      </c>
      <c r="E15" s="2500" t="s">
        <v>2242</v>
      </c>
      <c r="F15" s="2500" t="s">
        <v>2243</v>
      </c>
    </row>
    <row r="16" spans="2:6" x14ac:dyDescent="0.25">
      <c r="B16" s="2503">
        <v>44743</v>
      </c>
      <c r="C16" s="2504">
        <v>6</v>
      </c>
      <c r="D16" s="2504">
        <v>13</v>
      </c>
      <c r="E16" s="2504">
        <v>6</v>
      </c>
      <c r="F16" s="2504">
        <v>23250</v>
      </c>
    </row>
    <row r="17" spans="2:6" x14ac:dyDescent="0.25">
      <c r="B17" s="2503">
        <v>44762</v>
      </c>
      <c r="C17" s="2504">
        <v>0</v>
      </c>
      <c r="D17" s="2504">
        <v>11</v>
      </c>
      <c r="E17" s="2504">
        <v>4</v>
      </c>
      <c r="F17" s="2504">
        <v>17000</v>
      </c>
    </row>
    <row r="18" spans="2:6" x14ac:dyDescent="0.25">
      <c r="B18" s="2503">
        <v>44776</v>
      </c>
      <c r="C18" s="2504">
        <v>0</v>
      </c>
      <c r="D18" s="2504">
        <v>5</v>
      </c>
      <c r="E18" s="2504">
        <v>0</v>
      </c>
      <c r="F18" s="2504">
        <v>17750</v>
      </c>
    </row>
    <row r="19" spans="2:6" x14ac:dyDescent="0.25">
      <c r="B19" s="2503">
        <v>44792</v>
      </c>
      <c r="C19" s="2504">
        <v>0</v>
      </c>
      <c r="D19" s="2504">
        <v>7</v>
      </c>
      <c r="E19" s="2504">
        <v>2</v>
      </c>
      <c r="F19" s="2504">
        <v>13000</v>
      </c>
    </row>
    <row r="20" spans="2:6" x14ac:dyDescent="0.25">
      <c r="B20" s="2503">
        <v>44805</v>
      </c>
      <c r="C20" s="2504">
        <v>0</v>
      </c>
      <c r="D20" s="2504">
        <v>13.5</v>
      </c>
      <c r="E20" s="2504">
        <v>9</v>
      </c>
      <c r="F20" s="2504">
        <v>13300</v>
      </c>
    </row>
    <row r="21" spans="2:6" x14ac:dyDescent="0.25">
      <c r="B21" s="2503">
        <v>44821</v>
      </c>
      <c r="C21" s="2504">
        <v>0</v>
      </c>
      <c r="D21" s="2504">
        <v>10</v>
      </c>
      <c r="E21" s="2504">
        <v>5</v>
      </c>
      <c r="F21" s="2504">
        <v>10500</v>
      </c>
    </row>
    <row r="22" spans="2:6" x14ac:dyDescent="0.25">
      <c r="B22" s="2503">
        <v>44836</v>
      </c>
      <c r="C22" s="2504">
        <v>0</v>
      </c>
      <c r="D22" s="2504">
        <v>5</v>
      </c>
      <c r="E22" s="2504">
        <v>0</v>
      </c>
      <c r="F22" s="2504">
        <v>8000</v>
      </c>
    </row>
    <row r="23" spans="2:6" x14ac:dyDescent="0.25">
      <c r="B23" s="2503">
        <v>44850</v>
      </c>
      <c r="C23" s="2504">
        <v>0</v>
      </c>
      <c r="D23" s="2504">
        <v>12</v>
      </c>
      <c r="E23" s="2504">
        <v>3.5</v>
      </c>
      <c r="F23" s="2504">
        <v>11000</v>
      </c>
    </row>
    <row r="24" spans="2:6" x14ac:dyDescent="0.25">
      <c r="B24" s="2503">
        <v>44867</v>
      </c>
      <c r="C24" s="2504">
        <v>0</v>
      </c>
      <c r="D24" s="2504">
        <v>13</v>
      </c>
      <c r="E24" s="2504">
        <v>5</v>
      </c>
      <c r="F24" s="2504">
        <v>9500</v>
      </c>
    </row>
    <row r="25" spans="2:6" x14ac:dyDescent="0.25">
      <c r="B25" s="2503">
        <v>44882</v>
      </c>
      <c r="C25" s="2504">
        <v>0</v>
      </c>
      <c r="D25" s="2504">
        <v>10.5</v>
      </c>
      <c r="E25" s="2504">
        <v>5</v>
      </c>
      <c r="F25" s="2504">
        <v>10200</v>
      </c>
    </row>
    <row r="26" spans="2:6" x14ac:dyDescent="0.25">
      <c r="B26" s="2393">
        <v>44897</v>
      </c>
      <c r="C26" s="2394">
        <v>0</v>
      </c>
      <c r="D26" s="2394">
        <v>8</v>
      </c>
      <c r="E26" s="2394">
        <v>5</v>
      </c>
      <c r="F26" s="2504">
        <v>4900</v>
      </c>
    </row>
    <row r="27" spans="2:6" x14ac:dyDescent="0.25">
      <c r="B27" s="2393">
        <v>44911</v>
      </c>
      <c r="C27" s="2394">
        <v>0</v>
      </c>
      <c r="D27" s="2394">
        <v>5</v>
      </c>
      <c r="E27" s="2394">
        <v>1.5</v>
      </c>
      <c r="F27" s="2504">
        <v>1700</v>
      </c>
    </row>
    <row r="28" spans="2:6" x14ac:dyDescent="0.25">
      <c r="B28" s="1910">
        <v>44929</v>
      </c>
      <c r="C28" s="1911">
        <v>0</v>
      </c>
      <c r="D28" s="1911">
        <v>6.5</v>
      </c>
      <c r="E28" s="1911">
        <v>4.5</v>
      </c>
      <c r="F28" s="1909">
        <v>2100</v>
      </c>
    </row>
    <row r="29" spans="2:6" x14ac:dyDescent="0.25">
      <c r="B29" s="1910">
        <v>44943</v>
      </c>
      <c r="C29" s="1911">
        <v>0</v>
      </c>
      <c r="D29" s="1911">
        <v>5</v>
      </c>
      <c r="E29" s="1911">
        <v>3.5</v>
      </c>
      <c r="F29" s="1909">
        <v>1900</v>
      </c>
    </row>
    <row r="30" spans="2:6" x14ac:dyDescent="0.25">
      <c r="B30" s="1910">
        <v>44961</v>
      </c>
      <c r="C30" s="1911">
        <v>0</v>
      </c>
      <c r="D30" s="1911">
        <v>7.5</v>
      </c>
      <c r="E30" s="1911">
        <v>6</v>
      </c>
      <c r="F30" s="1909">
        <v>5050</v>
      </c>
    </row>
    <row r="31" spans="2:6" x14ac:dyDescent="0.25">
      <c r="B31" s="1910">
        <v>44973</v>
      </c>
      <c r="C31" s="1911">
        <v>0</v>
      </c>
      <c r="D31" s="1911">
        <v>2.5</v>
      </c>
      <c r="E31" s="1911">
        <v>1.5</v>
      </c>
      <c r="F31" s="1909">
        <v>4350</v>
      </c>
    </row>
    <row r="32" spans="2:6" x14ac:dyDescent="0.25">
      <c r="B32" s="1910">
        <v>44989</v>
      </c>
      <c r="C32" s="1911">
        <v>0</v>
      </c>
      <c r="D32" s="1911">
        <v>0.5</v>
      </c>
      <c r="E32" s="1911">
        <v>0</v>
      </c>
      <c r="F32" s="1909">
        <v>4400</v>
      </c>
    </row>
    <row r="33" spans="2:6" x14ac:dyDescent="0.25">
      <c r="B33" s="1910">
        <v>45006</v>
      </c>
      <c r="C33" s="1911">
        <v>0</v>
      </c>
      <c r="D33" s="1911">
        <v>1</v>
      </c>
      <c r="E33" s="1911">
        <v>0</v>
      </c>
      <c r="F33" s="1909">
        <v>3500</v>
      </c>
    </row>
    <row r="34" spans="2:6" x14ac:dyDescent="0.25">
      <c r="B34" s="1910">
        <v>45020</v>
      </c>
      <c r="C34" s="1911">
        <v>0</v>
      </c>
      <c r="D34" s="1911">
        <v>0.5</v>
      </c>
      <c r="E34" s="1911">
        <v>0</v>
      </c>
      <c r="F34" s="1909">
        <v>0</v>
      </c>
    </row>
    <row r="35" spans="2:6" x14ac:dyDescent="0.25">
      <c r="B35" s="1910">
        <v>45035</v>
      </c>
      <c r="C35" s="1911">
        <v>0</v>
      </c>
      <c r="D35" s="1911">
        <v>0</v>
      </c>
      <c r="E35" s="1911">
        <v>0</v>
      </c>
      <c r="F35" s="1909">
        <v>6400</v>
      </c>
    </row>
    <row r="36" spans="2:6" x14ac:dyDescent="0.25">
      <c r="B36" s="1910">
        <v>45048</v>
      </c>
      <c r="C36" s="1911">
        <v>0</v>
      </c>
      <c r="D36" s="1911">
        <v>0</v>
      </c>
      <c r="E36" s="1911">
        <v>0</v>
      </c>
      <c r="F36" s="1909">
        <v>4100</v>
      </c>
    </row>
    <row r="37" spans="2:6" x14ac:dyDescent="0.25">
      <c r="B37" s="1910">
        <v>45062</v>
      </c>
      <c r="C37" s="1911">
        <v>0</v>
      </c>
      <c r="D37" s="1911">
        <v>0</v>
      </c>
      <c r="E37" s="1911">
        <v>0</v>
      </c>
      <c r="F37" s="1909">
        <v>0</v>
      </c>
    </row>
    <row r="38" spans="2:6" x14ac:dyDescent="0.25">
      <c r="B38" s="1910">
        <v>45122</v>
      </c>
      <c r="C38" s="1911">
        <v>0</v>
      </c>
      <c r="D38" s="1911">
        <v>0</v>
      </c>
      <c r="E38" s="1911">
        <v>0</v>
      </c>
      <c r="F38" s="1909">
        <v>1600</v>
      </c>
    </row>
    <row r="39" spans="2:6" x14ac:dyDescent="0.25">
      <c r="B39" s="1910">
        <v>45139</v>
      </c>
      <c r="C39" s="1911">
        <v>0</v>
      </c>
      <c r="D39" s="1911">
        <v>1</v>
      </c>
      <c r="E39" s="1911">
        <v>0</v>
      </c>
      <c r="F39" s="1909">
        <v>4250</v>
      </c>
    </row>
    <row r="40" spans="2:6" x14ac:dyDescent="0.25">
      <c r="B40" s="1910">
        <v>45153</v>
      </c>
      <c r="C40" s="1911">
        <v>0</v>
      </c>
      <c r="D40" s="1911">
        <v>5.5</v>
      </c>
      <c r="E40" s="1911">
        <v>2</v>
      </c>
      <c r="F40" s="1909">
        <v>7100</v>
      </c>
    </row>
    <row r="41" spans="2:6" x14ac:dyDescent="0.25">
      <c r="B41" s="1910">
        <v>45171</v>
      </c>
      <c r="C41" s="1911">
        <v>0</v>
      </c>
      <c r="D41" s="1911">
        <v>6</v>
      </c>
      <c r="E41" s="1911">
        <v>4</v>
      </c>
      <c r="F41" s="1909">
        <v>6700</v>
      </c>
    </row>
    <row r="42" spans="2:6" x14ac:dyDescent="0.25">
      <c r="B42" s="1910">
        <v>45185</v>
      </c>
      <c r="C42" s="1911">
        <v>0</v>
      </c>
      <c r="D42" s="1911">
        <v>5.5</v>
      </c>
      <c r="E42" s="1911">
        <v>3.5</v>
      </c>
      <c r="F42" s="1909">
        <v>10000</v>
      </c>
    </row>
    <row r="43" spans="2:6" x14ac:dyDescent="0.25">
      <c r="B43" s="1910">
        <v>45199</v>
      </c>
      <c r="C43" s="1911">
        <v>0</v>
      </c>
      <c r="D43" s="1911">
        <v>5</v>
      </c>
      <c r="E43" s="1911">
        <v>2.5</v>
      </c>
      <c r="F43" s="1909">
        <v>12100</v>
      </c>
    </row>
    <row r="44" spans="2:6" x14ac:dyDescent="0.25">
      <c r="B44" s="1910">
        <v>45217</v>
      </c>
      <c r="C44" s="1911">
        <v>0</v>
      </c>
      <c r="D44" s="1911">
        <v>4</v>
      </c>
      <c r="E44" s="1911">
        <v>1</v>
      </c>
      <c r="F44" s="1909">
        <v>9050</v>
      </c>
    </row>
    <row r="45" spans="2:6" x14ac:dyDescent="0.25">
      <c r="B45" s="1910">
        <v>45231</v>
      </c>
      <c r="C45" s="1911">
        <v>0</v>
      </c>
      <c r="D45" s="1911">
        <v>2</v>
      </c>
      <c r="E45" s="1911">
        <v>0</v>
      </c>
      <c r="F45" s="1909">
        <v>9800</v>
      </c>
    </row>
    <row r="46" spans="2:6" x14ac:dyDescent="0.25">
      <c r="B46" s="1910">
        <v>45246</v>
      </c>
      <c r="C46" s="1911">
        <v>0</v>
      </c>
      <c r="D46" s="1911">
        <v>1</v>
      </c>
      <c r="E46" s="1911">
        <v>0</v>
      </c>
      <c r="F46" s="1909">
        <v>6300</v>
      </c>
    </row>
    <row r="47" spans="2:6" x14ac:dyDescent="0.25">
      <c r="B47" s="1910">
        <v>45261</v>
      </c>
      <c r="C47" s="1911">
        <v>0</v>
      </c>
      <c r="D47" s="1911">
        <v>1</v>
      </c>
      <c r="E47" s="1911">
        <v>0</v>
      </c>
      <c r="F47" s="1909">
        <v>5000</v>
      </c>
    </row>
    <row r="48" spans="2:6" x14ac:dyDescent="0.25">
      <c r="B48" s="1910">
        <v>45279</v>
      </c>
      <c r="C48" s="1911">
        <v>0</v>
      </c>
      <c r="D48" s="1911">
        <v>0.5</v>
      </c>
      <c r="E48" s="1911">
        <v>0</v>
      </c>
      <c r="F48" s="1909">
        <v>1300</v>
      </c>
    </row>
    <row r="49" spans="2:6" x14ac:dyDescent="0.25">
      <c r="B49" s="1910">
        <v>45293</v>
      </c>
      <c r="C49" s="1911">
        <v>0</v>
      </c>
      <c r="D49" s="1911">
        <v>0</v>
      </c>
      <c r="E49" s="1911">
        <v>0</v>
      </c>
      <c r="F49" s="1909">
        <v>2300</v>
      </c>
    </row>
    <row r="50" spans="2:6" x14ac:dyDescent="0.25">
      <c r="B50" s="1910">
        <v>45307</v>
      </c>
      <c r="C50" s="1911">
        <v>0</v>
      </c>
      <c r="D50" s="1911">
        <v>0</v>
      </c>
      <c r="E50" s="1911">
        <v>0</v>
      </c>
      <c r="F50" s="1909">
        <v>1700</v>
      </c>
    </row>
    <row r="51" spans="2:6" x14ac:dyDescent="0.25">
      <c r="B51" s="1910">
        <v>45325</v>
      </c>
      <c r="C51" s="1911">
        <v>0</v>
      </c>
      <c r="D51" s="1911">
        <v>0</v>
      </c>
      <c r="E51" s="1911">
        <v>0</v>
      </c>
      <c r="F51" s="1909">
        <v>3200</v>
      </c>
    </row>
    <row r="52" spans="2:6" x14ac:dyDescent="0.25">
      <c r="B52" s="1910">
        <v>45338</v>
      </c>
      <c r="C52" s="1911">
        <v>0</v>
      </c>
      <c r="D52" s="1911">
        <v>1.5</v>
      </c>
      <c r="E52" s="1911">
        <v>0</v>
      </c>
      <c r="F52" s="1909">
        <v>3300</v>
      </c>
    </row>
    <row r="53" spans="2:6" x14ac:dyDescent="0.25">
      <c r="B53" s="1910">
        <v>45352</v>
      </c>
      <c r="C53" s="1911">
        <v>0</v>
      </c>
      <c r="D53" s="1911">
        <v>0</v>
      </c>
      <c r="E53" s="1911">
        <v>0</v>
      </c>
      <c r="F53" s="1909">
        <v>4600</v>
      </c>
    </row>
    <row r="54" spans="2:6" x14ac:dyDescent="0.25">
      <c r="B54" s="1910">
        <v>45367</v>
      </c>
      <c r="C54" s="1911">
        <v>0</v>
      </c>
      <c r="D54" s="1911">
        <v>0</v>
      </c>
      <c r="E54" s="1911">
        <v>0</v>
      </c>
      <c r="F54" s="1909">
        <v>4900</v>
      </c>
    </row>
    <row r="55" spans="2:6" x14ac:dyDescent="0.25">
      <c r="B55" s="1910">
        <v>45386</v>
      </c>
      <c r="C55" s="1911">
        <v>0</v>
      </c>
      <c r="D55" s="1911">
        <v>0</v>
      </c>
      <c r="E55" s="1911">
        <v>0</v>
      </c>
      <c r="F55" s="1909">
        <v>6800</v>
      </c>
    </row>
    <row r="56" spans="2:6" x14ac:dyDescent="0.25">
      <c r="B56" s="1910">
        <v>45398</v>
      </c>
      <c r="C56" s="1911">
        <v>0</v>
      </c>
      <c r="D56" s="1911">
        <v>0</v>
      </c>
      <c r="E56" s="1911">
        <v>0</v>
      </c>
      <c r="F56" s="1909">
        <v>9600</v>
      </c>
    </row>
    <row r="57" spans="2:6" x14ac:dyDescent="0.25">
      <c r="B57" s="1910">
        <v>45413</v>
      </c>
      <c r="C57" s="1911">
        <v>0</v>
      </c>
      <c r="D57" s="1911">
        <v>0</v>
      </c>
      <c r="E57" s="1911">
        <v>0</v>
      </c>
      <c r="F57" s="1909">
        <v>8400</v>
      </c>
    </row>
    <row r="58" spans="2:6" x14ac:dyDescent="0.25">
      <c r="B58" s="1910">
        <v>45428</v>
      </c>
      <c r="C58" s="1911">
        <v>0</v>
      </c>
      <c r="D58" s="1911">
        <v>0</v>
      </c>
      <c r="E58" s="1911">
        <v>0</v>
      </c>
      <c r="F58" s="1909">
        <v>5700</v>
      </c>
    </row>
    <row r="59" spans="2:6" x14ac:dyDescent="0.25">
      <c r="B59" s="1910">
        <v>45444</v>
      </c>
      <c r="C59" s="1911">
        <v>0</v>
      </c>
      <c r="D59" s="1911">
        <v>0</v>
      </c>
      <c r="E59" s="1911">
        <v>0</v>
      </c>
      <c r="F59" s="1912">
        <v>5200</v>
      </c>
    </row>
    <row r="60" spans="2:6" x14ac:dyDescent="0.25">
      <c r="B60" s="1910">
        <v>45458</v>
      </c>
      <c r="C60" s="1911">
        <v>0</v>
      </c>
      <c r="D60" s="1911">
        <v>0</v>
      </c>
      <c r="E60" s="1911">
        <v>0</v>
      </c>
      <c r="F60" s="1912">
        <v>3250</v>
      </c>
    </row>
    <row r="61" spans="2:6" x14ac:dyDescent="0.25">
      <c r="B61" s="1910">
        <v>45475</v>
      </c>
      <c r="C61" s="1911">
        <v>0</v>
      </c>
      <c r="D61" s="1911">
        <v>0</v>
      </c>
      <c r="E61" s="1911">
        <v>0</v>
      </c>
      <c r="F61" s="1912">
        <v>6000</v>
      </c>
    </row>
    <row r="62" spans="2:6" x14ac:dyDescent="0.25">
      <c r="B62" s="1910">
        <v>45489</v>
      </c>
      <c r="C62" s="1911">
        <v>0</v>
      </c>
      <c r="D62" s="1911">
        <v>0</v>
      </c>
      <c r="E62" s="1911">
        <v>0</v>
      </c>
      <c r="F62" s="1912">
        <v>7000</v>
      </c>
    </row>
    <row r="63" spans="2:6" x14ac:dyDescent="0.25">
      <c r="B63" s="1910">
        <v>45505</v>
      </c>
      <c r="C63" s="1911">
        <v>0</v>
      </c>
      <c r="D63" s="1911">
        <v>0</v>
      </c>
      <c r="E63" s="1911">
        <v>0</v>
      </c>
      <c r="F63" s="1912">
        <v>4600</v>
      </c>
    </row>
    <row r="64" spans="2:6" x14ac:dyDescent="0.25">
      <c r="B64" s="1910">
        <v>45521</v>
      </c>
      <c r="C64" s="1911">
        <v>0</v>
      </c>
      <c r="D64" s="1911">
        <v>0</v>
      </c>
      <c r="E64" s="1911">
        <v>0</v>
      </c>
      <c r="F64" s="1912">
        <v>2100</v>
      </c>
    </row>
    <row r="65" spans="2:6" x14ac:dyDescent="0.25">
      <c r="B65" s="1910">
        <v>45535</v>
      </c>
      <c r="C65" s="1911">
        <v>0</v>
      </c>
      <c r="D65" s="1911">
        <v>0</v>
      </c>
      <c r="E65" s="1911">
        <v>0</v>
      </c>
      <c r="F65" s="1912">
        <v>1850</v>
      </c>
    </row>
    <row r="66" spans="2:6" x14ac:dyDescent="0.25">
      <c r="B66" s="1910">
        <v>45553</v>
      </c>
      <c r="C66" s="1911">
        <v>0</v>
      </c>
      <c r="D66" s="1911">
        <v>0</v>
      </c>
      <c r="E66" s="1911">
        <v>0</v>
      </c>
      <c r="F66" s="1912">
        <v>0</v>
      </c>
    </row>
    <row r="67" spans="2:6" x14ac:dyDescent="0.25">
      <c r="B67" s="1910">
        <v>46108</v>
      </c>
      <c r="C67" s="1911">
        <v>0</v>
      </c>
      <c r="D67" s="1911">
        <v>21.5</v>
      </c>
      <c r="E67" s="1911">
        <v>29.5</v>
      </c>
      <c r="F67" s="1912">
        <v>0</v>
      </c>
    </row>
    <row r="68" spans="2:6" x14ac:dyDescent="0.25">
      <c r="B68" s="1910">
        <v>46123</v>
      </c>
      <c r="C68" s="1911">
        <v>0</v>
      </c>
      <c r="D68" s="1911">
        <v>55.5</v>
      </c>
      <c r="E68" s="1911">
        <v>42</v>
      </c>
      <c r="F68" s="1912">
        <v>0</v>
      </c>
    </row>
    <row r="69" spans="2:6" x14ac:dyDescent="0.25">
      <c r="B69" s="1910">
        <v>46143</v>
      </c>
      <c r="C69" s="1911">
        <v>0</v>
      </c>
      <c r="D69" s="1911">
        <v>23</v>
      </c>
      <c r="E69" s="1911">
        <v>33</v>
      </c>
      <c r="F69" s="1912">
        <v>0</v>
      </c>
    </row>
    <row r="70" spans="2:6" x14ac:dyDescent="0.25">
      <c r="B70" s="2393">
        <v>46158</v>
      </c>
      <c r="C70" s="2394">
        <v>3</v>
      </c>
      <c r="D70" s="2394">
        <v>16.5</v>
      </c>
      <c r="E70" s="2394">
        <v>16</v>
      </c>
      <c r="F70" s="2395"/>
    </row>
    <row r="71" spans="2:6" x14ac:dyDescent="0.25">
      <c r="B71" s="2393">
        <v>46174</v>
      </c>
      <c r="C71" s="2394">
        <v>1.5</v>
      </c>
      <c r="D71" s="2394">
        <v>13.5</v>
      </c>
      <c r="E71" s="2394">
        <v>9.5</v>
      </c>
      <c r="F71" s="2395"/>
    </row>
    <row r="72" spans="2:6" x14ac:dyDescent="0.25">
      <c r="B72" s="2393">
        <v>46189</v>
      </c>
      <c r="C72" s="2394">
        <v>1.5</v>
      </c>
      <c r="D72" s="2394">
        <v>14</v>
      </c>
      <c r="E72" s="2394">
        <v>12.5</v>
      </c>
      <c r="F72" s="2395"/>
    </row>
    <row r="73" spans="2:6" x14ac:dyDescent="0.25">
      <c r="B73" s="2393">
        <v>46204</v>
      </c>
      <c r="C73" s="2394">
        <v>4</v>
      </c>
      <c r="D73" s="2394">
        <v>8.5</v>
      </c>
      <c r="E73" s="2394">
        <v>7.5</v>
      </c>
      <c r="F73" s="2395"/>
    </row>
    <row r="74" spans="2:6" x14ac:dyDescent="0.25">
      <c r="B74" s="2393">
        <v>46219</v>
      </c>
      <c r="C74" s="2394">
        <v>2.5</v>
      </c>
      <c r="D74" s="2394">
        <v>15.5</v>
      </c>
      <c r="E74" s="2394">
        <v>14.5</v>
      </c>
      <c r="F74" s="2395"/>
    </row>
    <row r="75" spans="2:6" x14ac:dyDescent="0.25">
      <c r="B75" s="1913" t="s">
        <v>1791</v>
      </c>
    </row>
    <row r="77" spans="2:6" ht="39" customHeight="1" x14ac:dyDescent="0.25">
      <c r="B77" s="3714" t="s">
        <v>1792</v>
      </c>
      <c r="C77" s="3715"/>
      <c r="D77" s="3716"/>
    </row>
    <row r="78" spans="2:6" x14ac:dyDescent="0.25">
      <c r="B78" s="1564"/>
      <c r="C78" s="1564"/>
      <c r="D78" s="1564"/>
    </row>
    <row r="79" spans="2:6" ht="38.25" customHeight="1" x14ac:dyDescent="0.25">
      <c r="B79" s="3704" t="s">
        <v>2982</v>
      </c>
      <c r="C79" s="3705"/>
      <c r="D79" s="3706"/>
    </row>
    <row r="80" spans="2:6" x14ac:dyDescent="0.25">
      <c r="B80" s="3717"/>
      <c r="C80" s="3717"/>
      <c r="D80" s="3717"/>
    </row>
    <row r="81" spans="2:7" ht="30" x14ac:dyDescent="0.25">
      <c r="B81" s="2493" t="s">
        <v>4</v>
      </c>
      <c r="C81" s="2494" t="s">
        <v>2244</v>
      </c>
      <c r="D81" s="2420" t="s">
        <v>1776</v>
      </c>
    </row>
    <row r="82" spans="2:7" x14ac:dyDescent="0.25">
      <c r="B82" s="1916" t="s">
        <v>1758</v>
      </c>
      <c r="C82" s="2150">
        <v>55.64</v>
      </c>
      <c r="D82" s="2151">
        <v>0.89741935483870972</v>
      </c>
    </row>
    <row r="83" spans="2:7" x14ac:dyDescent="0.25">
      <c r="B83" s="1917" t="s">
        <v>1793</v>
      </c>
      <c r="C83" s="1903">
        <v>2.95</v>
      </c>
      <c r="D83" s="2152"/>
    </row>
    <row r="84" spans="2:7" x14ac:dyDescent="0.25">
      <c r="B84" s="2495" t="s">
        <v>1779</v>
      </c>
      <c r="C84" s="2153">
        <v>2.95</v>
      </c>
      <c r="D84" s="2154">
        <v>4.7580645161290326E-2</v>
      </c>
    </row>
    <row r="85" spans="2:7" x14ac:dyDescent="0.25">
      <c r="B85" s="1919" t="s">
        <v>1794</v>
      </c>
      <c r="C85" s="1903">
        <v>3.41</v>
      </c>
      <c r="D85" s="2152">
        <v>5.5E-2</v>
      </c>
    </row>
    <row r="86" spans="2:7" x14ac:dyDescent="0.25">
      <c r="B86" s="2495" t="s">
        <v>1762</v>
      </c>
      <c r="C86" s="2153">
        <v>62</v>
      </c>
      <c r="D86" s="2154">
        <v>1</v>
      </c>
    </row>
    <row r="87" spans="2:7" x14ac:dyDescent="0.25">
      <c r="B87" s="1920"/>
      <c r="C87" s="950"/>
      <c r="D87" s="1921"/>
    </row>
    <row r="88" spans="2:7" ht="39" customHeight="1" x14ac:dyDescent="0.25">
      <c r="B88" s="3704" t="s">
        <v>2983</v>
      </c>
      <c r="C88" s="3705"/>
      <c r="D88" s="3706"/>
    </row>
    <row r="89" spans="2:7" x14ac:dyDescent="0.25">
      <c r="B89" s="3717"/>
      <c r="C89" s="3717"/>
      <c r="D89" s="3717"/>
    </row>
    <row r="90" spans="2:7" ht="30" x14ac:dyDescent="0.25">
      <c r="B90" s="2493" t="s">
        <v>4</v>
      </c>
      <c r="C90" s="2420" t="s">
        <v>2245</v>
      </c>
      <c r="D90" s="2420" t="s">
        <v>1776</v>
      </c>
    </row>
    <row r="91" spans="2:7" ht="22.5" customHeight="1" x14ac:dyDescent="0.25">
      <c r="B91" s="1916" t="s">
        <v>1765</v>
      </c>
      <c r="C91" s="1935">
        <f>'8.2 8.3 8.4 8.5'!D13</f>
        <v>824.04</v>
      </c>
      <c r="D91" s="2151">
        <f>C91/C96</f>
        <v>0.87477707006369421</v>
      </c>
      <c r="G91" s="839"/>
    </row>
    <row r="92" spans="2:7" hidden="1" x14ac:dyDescent="0.25">
      <c r="B92" s="1917" t="s">
        <v>1777</v>
      </c>
      <c r="C92" s="2496">
        <v>0</v>
      </c>
      <c r="D92" s="2152"/>
    </row>
    <row r="93" spans="2:7" x14ac:dyDescent="0.25">
      <c r="B93" s="1917" t="s">
        <v>1795</v>
      </c>
      <c r="C93" s="1937">
        <f>'8.2 8.3 8.4 8.5'!D15</f>
        <v>44.88</v>
      </c>
      <c r="D93" s="2152"/>
    </row>
    <row r="94" spans="2:7" x14ac:dyDescent="0.25">
      <c r="B94" s="2495" t="s">
        <v>1779</v>
      </c>
      <c r="C94" s="2497">
        <f>C92+C93</f>
        <v>44.88</v>
      </c>
      <c r="D94" s="2498">
        <f>C94/C96</f>
        <v>4.7643312101910834E-2</v>
      </c>
    </row>
    <row r="95" spans="2:7" x14ac:dyDescent="0.25">
      <c r="B95" s="1917" t="s">
        <v>1796</v>
      </c>
      <c r="C95" s="1937">
        <f>'8.2 8.3 8.4 8.5'!D14</f>
        <v>73.08</v>
      </c>
      <c r="D95" s="2152">
        <f>C95/C96</f>
        <v>7.7579617834394904E-2</v>
      </c>
    </row>
    <row r="96" spans="2:7" x14ac:dyDescent="0.25">
      <c r="B96" s="2492" t="s">
        <v>1762</v>
      </c>
      <c r="C96" s="2497">
        <f>C91+C94+C95</f>
        <v>942</v>
      </c>
      <c r="D96" s="2498">
        <f>D91+D94+D95</f>
        <v>1</v>
      </c>
    </row>
  </sheetData>
  <mergeCells count="12">
    <mergeCell ref="B77:D77"/>
    <mergeCell ref="B79:D79"/>
    <mergeCell ref="B80:D80"/>
    <mergeCell ref="B88:D88"/>
    <mergeCell ref="B89:D89"/>
    <mergeCell ref="B1:D1"/>
    <mergeCell ref="B2:D2"/>
    <mergeCell ref="B9:D9"/>
    <mergeCell ref="B11:F11"/>
    <mergeCell ref="B13:B15"/>
    <mergeCell ref="C13:E13"/>
    <mergeCell ref="F13:F14"/>
  </mergeCells>
  <pageMargins left="0.7" right="0.7" top="0.75" bottom="0.75" header="0.3" footer="0.3"/>
  <pageSetup paperSize="9" scale="42" orientation="portrait" r:id="rId1"/>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EFBA80-4F93-4551-9D8E-74BF8B6959F9}">
  <sheetPr>
    <tabColor theme="0"/>
  </sheetPr>
  <dimension ref="B1:F17"/>
  <sheetViews>
    <sheetView showGridLines="0" view="pageBreakPreview" zoomScaleNormal="100" zoomScaleSheetLayoutView="100" workbookViewId="0">
      <selection activeCell="B81" sqref="B81"/>
    </sheetView>
  </sheetViews>
  <sheetFormatPr defaultColWidth="9.140625" defaultRowHeight="15" x14ac:dyDescent="0.25"/>
  <cols>
    <col min="1" max="1" width="2.7109375" customWidth="1"/>
    <col min="2" max="2" width="53.140625" bestFit="1" customWidth="1"/>
    <col min="3" max="3" width="20.42578125" customWidth="1"/>
  </cols>
  <sheetData>
    <row r="1" spans="2:6" ht="38.25" customHeight="1" x14ac:dyDescent="0.25">
      <c r="B1" s="3704" t="s">
        <v>1797</v>
      </c>
      <c r="C1" s="3706"/>
    </row>
    <row r="2" spans="2:6" x14ac:dyDescent="0.25">
      <c r="B2" s="1922"/>
      <c r="C2" s="1923"/>
    </row>
    <row r="3" spans="2:6" x14ac:dyDescent="0.25">
      <c r="B3" s="2396" t="s">
        <v>1649</v>
      </c>
      <c r="C3" s="2397" t="s">
        <v>1798</v>
      </c>
    </row>
    <row r="4" spans="2:6" x14ac:dyDescent="0.25">
      <c r="B4" s="1924" t="s">
        <v>1799</v>
      </c>
      <c r="C4" s="2398">
        <v>1.94537</v>
      </c>
      <c r="E4" s="120"/>
      <c r="F4" s="120"/>
    </row>
    <row r="5" spans="2:6" x14ac:dyDescent="0.25">
      <c r="B5" s="1925" t="s">
        <v>119</v>
      </c>
      <c r="C5" s="2398">
        <v>0.46422999999999998</v>
      </c>
      <c r="E5" s="120"/>
      <c r="F5" s="120"/>
    </row>
    <row r="6" spans="2:6" x14ac:dyDescent="0.25">
      <c r="B6" s="1925" t="s">
        <v>2246</v>
      </c>
      <c r="C6" s="2398">
        <v>3.0954799999999998</v>
      </c>
      <c r="E6" s="120"/>
      <c r="F6" s="120"/>
    </row>
    <row r="7" spans="2:6" x14ac:dyDescent="0.25">
      <c r="B7" s="1925" t="s">
        <v>1151</v>
      </c>
      <c r="C7" s="2398">
        <v>1.6047</v>
      </c>
      <c r="E7" s="120"/>
      <c r="F7" s="120"/>
    </row>
    <row r="8" spans="2:6" x14ac:dyDescent="0.25">
      <c r="B8" s="1925" t="s">
        <v>1046</v>
      </c>
      <c r="C8" s="2398">
        <v>0.86677999999999999</v>
      </c>
      <c r="E8" s="120"/>
      <c r="F8" s="120"/>
    </row>
    <row r="9" spans="2:6" x14ac:dyDescent="0.25">
      <c r="B9" s="1925" t="s">
        <v>1891</v>
      </c>
      <c r="C9" s="2398">
        <v>0.66576000000000002</v>
      </c>
      <c r="E9" s="120"/>
      <c r="F9" s="120"/>
    </row>
    <row r="10" spans="2:6" x14ac:dyDescent="0.25">
      <c r="B10" s="1925" t="s">
        <v>112</v>
      </c>
      <c r="C10" s="2398">
        <v>0.64480999999999999</v>
      </c>
      <c r="E10" s="120"/>
      <c r="F10" s="120"/>
    </row>
    <row r="11" spans="2:6" x14ac:dyDescent="0.25">
      <c r="B11" s="1925" t="s">
        <v>1152</v>
      </c>
      <c r="C11" s="2398">
        <v>0.31991000000000003</v>
      </c>
      <c r="E11" s="120"/>
      <c r="F11" s="120"/>
    </row>
    <row r="12" spans="2:6" x14ac:dyDescent="0.25">
      <c r="B12" s="1925" t="s">
        <v>1800</v>
      </c>
      <c r="C12" s="2398">
        <v>0.29199000000000003</v>
      </c>
      <c r="E12" s="120"/>
      <c r="F12" s="120"/>
    </row>
    <row r="13" spans="2:6" x14ac:dyDescent="0.25">
      <c r="B13" s="1925" t="s">
        <v>1054</v>
      </c>
      <c r="C13" s="2398">
        <v>0.22677</v>
      </c>
      <c r="E13" s="120"/>
      <c r="F13" s="120"/>
    </row>
    <row r="14" spans="2:6" x14ac:dyDescent="0.25">
      <c r="B14" s="1925" t="s">
        <v>1153</v>
      </c>
      <c r="C14" s="2398">
        <v>0.18684999999999999</v>
      </c>
      <c r="E14" s="120"/>
      <c r="F14" s="120"/>
    </row>
    <row r="15" spans="2:6" x14ac:dyDescent="0.25">
      <c r="B15" s="1925" t="s">
        <v>1801</v>
      </c>
      <c r="C15" s="2398">
        <v>4.6629999999999998E-2</v>
      </c>
      <c r="E15" s="120"/>
      <c r="F15" s="120"/>
    </row>
    <row r="16" spans="2:6" x14ac:dyDescent="0.25">
      <c r="B16" s="2399" t="s">
        <v>133</v>
      </c>
      <c r="C16" s="2400">
        <v>10.36928</v>
      </c>
    </row>
    <row r="17" spans="2:3" ht="36.75" customHeight="1" x14ac:dyDescent="0.25">
      <c r="B17" s="3708" t="s">
        <v>2852</v>
      </c>
      <c r="C17" s="3710"/>
    </row>
  </sheetData>
  <mergeCells count="2">
    <mergeCell ref="B1:C1"/>
    <mergeCell ref="B17:C17"/>
  </mergeCells>
  <pageMargins left="0.7" right="0.46" top="0.75" bottom="0.75" header="0.3" footer="0.3"/>
  <pageSetup paperSize="9" scale="99" orientation="portrait" r:id="rId1"/>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CE9021-630C-4EDC-82BF-8A6567DB30FE}">
  <sheetPr>
    <tabColor theme="0"/>
  </sheetPr>
  <dimension ref="B1:D45"/>
  <sheetViews>
    <sheetView showGridLines="0" view="pageBreakPreview" topLeftCell="A31" zoomScaleNormal="100" zoomScaleSheetLayoutView="100" workbookViewId="0">
      <selection activeCell="B81" sqref="B81"/>
    </sheetView>
  </sheetViews>
  <sheetFormatPr defaultColWidth="9.140625" defaultRowHeight="15" x14ac:dyDescent="0.25"/>
  <cols>
    <col min="1" max="1" width="1.28515625" style="17" customWidth="1"/>
    <col min="2" max="2" width="26" style="17" customWidth="1"/>
    <col min="3" max="3" width="35.85546875" style="1897" customWidth="1"/>
    <col min="4" max="4" width="32.7109375" style="1897" customWidth="1"/>
    <col min="5" max="16384" width="9.140625" style="17"/>
  </cols>
  <sheetData>
    <row r="1" spans="2:4" x14ac:dyDescent="0.25">
      <c r="B1" s="3719" t="s">
        <v>2247</v>
      </c>
      <c r="C1" s="3719"/>
      <c r="D1" s="3719"/>
    </row>
    <row r="2" spans="2:4" x14ac:dyDescent="0.25">
      <c r="B2" s="1889"/>
      <c r="C2" s="1890"/>
      <c r="D2" s="1890"/>
    </row>
    <row r="3" spans="2:4" x14ac:dyDescent="0.25">
      <c r="B3" s="3720" t="s">
        <v>2248</v>
      </c>
      <c r="C3" s="3721"/>
      <c r="D3" s="3722"/>
    </row>
    <row r="4" spans="2:4" x14ac:dyDescent="0.25">
      <c r="B4" s="3723" t="s">
        <v>1802</v>
      </c>
      <c r="C4" s="3723"/>
      <c r="D4" s="3723"/>
    </row>
    <row r="5" spans="2:4" x14ac:dyDescent="0.25">
      <c r="B5" s="2401" t="s">
        <v>1803</v>
      </c>
      <c r="C5" s="2402" t="s">
        <v>1151</v>
      </c>
      <c r="D5" s="2402" t="s">
        <v>1154</v>
      </c>
    </row>
    <row r="6" spans="2:4" x14ac:dyDescent="0.25">
      <c r="B6" s="1926" t="s">
        <v>1804</v>
      </c>
      <c r="C6" s="1927">
        <v>707</v>
      </c>
      <c r="D6" s="1927">
        <v>425</v>
      </c>
    </row>
    <row r="7" spans="2:4" x14ac:dyDescent="0.25">
      <c r="B7" s="1928">
        <v>38524</v>
      </c>
      <c r="C7" s="1927">
        <v>778</v>
      </c>
      <c r="D7" s="1927">
        <v>467</v>
      </c>
    </row>
    <row r="8" spans="2:4" x14ac:dyDescent="0.25">
      <c r="B8" s="1928">
        <v>38565</v>
      </c>
      <c r="C8" s="1927">
        <v>848</v>
      </c>
      <c r="D8" s="1927">
        <v>509</v>
      </c>
    </row>
    <row r="9" spans="2:4" x14ac:dyDescent="0.25">
      <c r="B9" s="1928">
        <v>39142</v>
      </c>
      <c r="C9" s="1927">
        <v>894</v>
      </c>
      <c r="D9" s="1927">
        <v>529</v>
      </c>
    </row>
    <row r="10" spans="2:4" x14ac:dyDescent="0.25">
      <c r="B10" s="1928">
        <v>39218</v>
      </c>
      <c r="C10" s="1927">
        <v>1024</v>
      </c>
      <c r="D10" s="1927">
        <v>600</v>
      </c>
    </row>
    <row r="11" spans="2:4" x14ac:dyDescent="0.25">
      <c r="B11" s="1928">
        <v>39591</v>
      </c>
      <c r="C11" s="1927">
        <v>1052</v>
      </c>
      <c r="D11" s="1927">
        <v>631</v>
      </c>
    </row>
    <row r="12" spans="2:4" x14ac:dyDescent="0.25">
      <c r="B12" s="1928">
        <v>40113</v>
      </c>
      <c r="C12" s="1927">
        <v>1125</v>
      </c>
      <c r="D12" s="1927">
        <v>673</v>
      </c>
    </row>
    <row r="13" spans="2:4" x14ac:dyDescent="0.25">
      <c r="B13" s="1928">
        <v>40428</v>
      </c>
      <c r="C13" s="1927">
        <v>1218</v>
      </c>
      <c r="D13" s="1927">
        <v>757</v>
      </c>
    </row>
    <row r="14" spans="2:4" x14ac:dyDescent="0.25">
      <c r="B14" s="1928">
        <v>40725</v>
      </c>
      <c r="C14" s="1927">
        <v>1499</v>
      </c>
      <c r="D14" s="1927">
        <v>912</v>
      </c>
    </row>
    <row r="15" spans="2:4" x14ac:dyDescent="0.25">
      <c r="B15" s="1928">
        <v>41209</v>
      </c>
      <c r="C15" s="1927">
        <v>1794</v>
      </c>
      <c r="D15" s="1927">
        <v>1089</v>
      </c>
    </row>
    <row r="16" spans="2:4" ht="30" x14ac:dyDescent="0.25">
      <c r="B16" s="1928">
        <v>41629</v>
      </c>
      <c r="C16" s="1929" t="s">
        <v>1805</v>
      </c>
      <c r="D16" s="1927">
        <v>1186</v>
      </c>
    </row>
    <row r="17" spans="2:4" ht="30" x14ac:dyDescent="0.25">
      <c r="B17" s="1928">
        <v>41935</v>
      </c>
      <c r="C17" s="1929" t="s">
        <v>1806</v>
      </c>
      <c r="D17" s="1929" t="s">
        <v>1807</v>
      </c>
    </row>
    <row r="18" spans="2:4" ht="30" x14ac:dyDescent="0.25">
      <c r="B18" s="1928">
        <v>42217</v>
      </c>
      <c r="C18" s="1929" t="s">
        <v>1808</v>
      </c>
      <c r="D18" s="1929" t="s">
        <v>1809</v>
      </c>
    </row>
    <row r="19" spans="2:4" ht="30" x14ac:dyDescent="0.25">
      <c r="B19" s="1928">
        <v>42324</v>
      </c>
      <c r="C19" s="1929" t="s">
        <v>1810</v>
      </c>
      <c r="D19" s="1929" t="s">
        <v>1811</v>
      </c>
    </row>
    <row r="20" spans="2:4" ht="30" x14ac:dyDescent="0.25">
      <c r="B20" s="1928">
        <v>42522</v>
      </c>
      <c r="C20" s="1929" t="s">
        <v>1812</v>
      </c>
      <c r="D20" s="1929" t="s">
        <v>1813</v>
      </c>
    </row>
    <row r="21" spans="2:4" ht="30" x14ac:dyDescent="0.25">
      <c r="B21" s="1928">
        <v>42648</v>
      </c>
      <c r="C21" s="1929" t="s">
        <v>2249</v>
      </c>
      <c r="D21" s="1929" t="s">
        <v>2250</v>
      </c>
    </row>
    <row r="22" spans="2:4" ht="30" x14ac:dyDescent="0.25">
      <c r="B22" s="1928">
        <v>42690</v>
      </c>
      <c r="C22" s="1929" t="s">
        <v>2251</v>
      </c>
      <c r="D22" s="1929" t="s">
        <v>2252</v>
      </c>
    </row>
    <row r="23" spans="2:4" ht="30" x14ac:dyDescent="0.25">
      <c r="B23" s="1928">
        <v>42826</v>
      </c>
      <c r="C23" s="1929" t="s">
        <v>2253</v>
      </c>
      <c r="D23" s="1929" t="s">
        <v>2254</v>
      </c>
    </row>
    <row r="24" spans="2:4" ht="30" x14ac:dyDescent="0.25">
      <c r="B24" s="1928">
        <v>42917</v>
      </c>
      <c r="C24" s="1929" t="s">
        <v>2255</v>
      </c>
      <c r="D24" s="1929" t="s">
        <v>2256</v>
      </c>
    </row>
    <row r="25" spans="2:4" ht="30" x14ac:dyDescent="0.25">
      <c r="B25" s="1928">
        <v>42948</v>
      </c>
      <c r="C25" s="1929" t="s">
        <v>2257</v>
      </c>
      <c r="D25" s="1929" t="s">
        <v>2258</v>
      </c>
    </row>
    <row r="26" spans="2:4" ht="30" x14ac:dyDescent="0.25">
      <c r="B26" s="1928">
        <v>43515</v>
      </c>
      <c r="C26" s="1929" t="s">
        <v>2259</v>
      </c>
      <c r="D26" s="1929" t="s">
        <v>2260</v>
      </c>
    </row>
    <row r="27" spans="2:4" ht="33.75" customHeight="1" x14ac:dyDescent="0.25">
      <c r="B27" s="1928">
        <v>45595</v>
      </c>
      <c r="C27" s="1929" t="s">
        <v>2261</v>
      </c>
      <c r="D27" s="1929" t="s">
        <v>2262</v>
      </c>
    </row>
    <row r="28" spans="2:4" ht="33.75" customHeight="1" x14ac:dyDescent="0.25">
      <c r="B28" s="1928">
        <v>45627</v>
      </c>
      <c r="C28" s="1929" t="s">
        <v>2320</v>
      </c>
      <c r="D28" s="1929" t="s">
        <v>2321</v>
      </c>
    </row>
    <row r="29" spans="2:4" ht="29.25" customHeight="1" x14ac:dyDescent="0.25">
      <c r="B29" s="3724" t="s">
        <v>2853</v>
      </c>
      <c r="C29" s="3724"/>
      <c r="D29" s="3724"/>
    </row>
    <row r="31" spans="2:4" ht="17.25" customHeight="1" x14ac:dyDescent="0.25">
      <c r="B31" s="3696" t="s">
        <v>1814</v>
      </c>
      <c r="C31" s="3697"/>
      <c r="D31" s="3698"/>
    </row>
    <row r="32" spans="2:4" x14ac:dyDescent="0.25">
      <c r="B32" s="3718" t="s">
        <v>1802</v>
      </c>
      <c r="C32" s="3718"/>
      <c r="D32" s="3718"/>
    </row>
    <row r="33" spans="2:4" x14ac:dyDescent="0.25">
      <c r="B33" s="1930" t="s">
        <v>1815</v>
      </c>
      <c r="C33" s="1914" t="s">
        <v>1816</v>
      </c>
      <c r="D33" s="1915" t="s">
        <v>1817</v>
      </c>
    </row>
    <row r="34" spans="2:4" x14ac:dyDescent="0.25">
      <c r="B34" s="1931" t="s">
        <v>1818</v>
      </c>
      <c r="C34" s="1932">
        <v>204</v>
      </c>
      <c r="D34" s="1932">
        <v>161</v>
      </c>
    </row>
    <row r="35" spans="2:4" x14ac:dyDescent="0.25">
      <c r="B35" s="1931">
        <v>39142</v>
      </c>
      <c r="C35" s="1932">
        <v>243</v>
      </c>
      <c r="D35" s="1932">
        <v>200</v>
      </c>
    </row>
    <row r="36" spans="2:4" x14ac:dyDescent="0.25">
      <c r="B36" s="1931">
        <v>39592</v>
      </c>
      <c r="C36" s="1932">
        <v>255</v>
      </c>
      <c r="D36" s="1932">
        <v>212</v>
      </c>
    </row>
    <row r="37" spans="2:4" x14ac:dyDescent="0.25">
      <c r="B37" s="1931">
        <v>40001</v>
      </c>
      <c r="C37" s="1932">
        <v>263</v>
      </c>
      <c r="D37" s="1932">
        <v>220</v>
      </c>
    </row>
    <row r="38" spans="2:4" x14ac:dyDescent="0.25">
      <c r="B38" s="1931">
        <v>40428</v>
      </c>
      <c r="C38" s="1932">
        <v>275</v>
      </c>
      <c r="D38" s="1932">
        <v>232</v>
      </c>
    </row>
    <row r="39" spans="2:4" x14ac:dyDescent="0.25">
      <c r="B39" s="1931">
        <v>41271</v>
      </c>
      <c r="C39" s="1932">
        <v>438.24</v>
      </c>
      <c r="D39" s="1932">
        <v>377.73</v>
      </c>
    </row>
    <row r="40" spans="2:4" x14ac:dyDescent="0.25">
      <c r="B40" s="1931">
        <v>41933</v>
      </c>
      <c r="C40" s="1932">
        <v>536.09</v>
      </c>
      <c r="D40" s="1932">
        <v>475.58</v>
      </c>
    </row>
    <row r="41" spans="2:4" x14ac:dyDescent="0.25">
      <c r="B41" s="1931">
        <v>42405</v>
      </c>
      <c r="C41" s="1932">
        <v>714.18</v>
      </c>
      <c r="D41" s="1932">
        <v>649.16</v>
      </c>
    </row>
    <row r="42" spans="2:4" x14ac:dyDescent="0.25">
      <c r="B42" s="1931">
        <v>42671</v>
      </c>
      <c r="C42" s="1932">
        <v>787.82</v>
      </c>
      <c r="D42" s="1932">
        <v>723.87</v>
      </c>
    </row>
    <row r="43" spans="2:4" x14ac:dyDescent="0.25">
      <c r="B43" s="1931">
        <v>42983</v>
      </c>
      <c r="C43" s="1932">
        <v>1008.83</v>
      </c>
      <c r="D43" s="1932">
        <v>928.1</v>
      </c>
    </row>
    <row r="44" spans="2:4" x14ac:dyDescent="0.25">
      <c r="B44" s="1931">
        <v>43377</v>
      </c>
      <c r="C44" s="1932">
        <v>1016.37</v>
      </c>
      <c r="D44" s="1932">
        <v>1005.95</v>
      </c>
    </row>
    <row r="45" spans="2:4" x14ac:dyDescent="0.25">
      <c r="B45" s="1931">
        <v>43518</v>
      </c>
      <c r="C45" s="1932">
        <v>1341.88</v>
      </c>
      <c r="D45" s="1932">
        <v>1230.98</v>
      </c>
    </row>
  </sheetData>
  <mergeCells count="6">
    <mergeCell ref="B32:D32"/>
    <mergeCell ref="B1:D1"/>
    <mergeCell ref="B3:D3"/>
    <mergeCell ref="B4:D4"/>
    <mergeCell ref="B29:D29"/>
    <mergeCell ref="B31:D31"/>
  </mergeCells>
  <pageMargins left="0.7" right="0.7" top="0.75" bottom="0.75" header="0.3" footer="0.3"/>
  <pageSetup paperSize="9" scale="84" orientation="portrait" r:id="rId1"/>
  <drawing r:id="rId2"/>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5D98A4-6CC5-4730-A168-01180035195A}">
  <sheetPr>
    <tabColor theme="0"/>
    <pageSetUpPr fitToPage="1"/>
  </sheetPr>
  <dimension ref="B1:E60"/>
  <sheetViews>
    <sheetView showGridLines="0" view="pageBreakPreview" zoomScaleNormal="100" zoomScaleSheetLayoutView="100" workbookViewId="0">
      <selection activeCell="B81" sqref="B81"/>
    </sheetView>
  </sheetViews>
  <sheetFormatPr defaultColWidth="9.140625" defaultRowHeight="15" x14ac:dyDescent="0.25"/>
  <cols>
    <col min="1" max="1" width="2" customWidth="1"/>
    <col min="2" max="2" width="17.28515625" bestFit="1" customWidth="1"/>
    <col min="3" max="3" width="12.140625" bestFit="1" customWidth="1"/>
    <col min="4" max="4" width="20.85546875" customWidth="1"/>
    <col min="5" max="5" width="11.42578125" customWidth="1"/>
  </cols>
  <sheetData>
    <row r="1" spans="2:5" ht="6" customHeight="1" x14ac:dyDescent="0.25">
      <c r="B1" s="950"/>
      <c r="C1" s="950"/>
      <c r="D1" s="950"/>
      <c r="E1" s="950"/>
    </row>
    <row r="2" spans="2:5" ht="49.5" customHeight="1" x14ac:dyDescent="0.25">
      <c r="B2" s="3696" t="s">
        <v>1819</v>
      </c>
      <c r="C2" s="3697"/>
      <c r="D2" s="3697"/>
      <c r="E2" s="3698"/>
    </row>
    <row r="3" spans="2:5" x14ac:dyDescent="0.25">
      <c r="B3" s="3725" t="s">
        <v>1820</v>
      </c>
      <c r="C3" s="3725"/>
      <c r="D3" s="3725"/>
      <c r="E3" s="3725"/>
    </row>
    <row r="4" spans="2:5" ht="60" x14ac:dyDescent="0.25">
      <c r="B4" s="1930" t="s">
        <v>1803</v>
      </c>
      <c r="C4" s="1914" t="s">
        <v>1821</v>
      </c>
      <c r="D4" s="1915" t="s">
        <v>1822</v>
      </c>
      <c r="E4" s="1914" t="s">
        <v>1823</v>
      </c>
    </row>
    <row r="5" spans="2:5" x14ac:dyDescent="0.25">
      <c r="B5" s="1933" t="s">
        <v>1824</v>
      </c>
      <c r="C5" s="1934">
        <v>16.71</v>
      </c>
      <c r="D5" s="1935" t="s">
        <v>1825</v>
      </c>
      <c r="E5" s="1934">
        <v>8.6</v>
      </c>
    </row>
    <row r="6" spans="2:5" x14ac:dyDescent="0.25">
      <c r="B6" s="1936">
        <v>39142</v>
      </c>
      <c r="C6" s="1903">
        <v>19.05</v>
      </c>
      <c r="D6" s="1937" t="s">
        <v>1825</v>
      </c>
      <c r="E6" s="1903">
        <v>9.81</v>
      </c>
    </row>
    <row r="7" spans="2:5" x14ac:dyDescent="0.25">
      <c r="B7" s="1936">
        <v>39603</v>
      </c>
      <c r="C7" s="1903">
        <v>20.54</v>
      </c>
      <c r="D7" s="1937" t="s">
        <v>1825</v>
      </c>
      <c r="E7" s="1903">
        <v>10.58</v>
      </c>
    </row>
    <row r="8" spans="2:5" x14ac:dyDescent="0.25">
      <c r="B8" s="1936">
        <v>39994</v>
      </c>
      <c r="C8" s="1903">
        <v>21.94</v>
      </c>
      <c r="D8" s="1937" t="s">
        <v>1825</v>
      </c>
      <c r="E8" s="1903">
        <v>11.3</v>
      </c>
    </row>
    <row r="9" spans="2:5" x14ac:dyDescent="0.25">
      <c r="B9" s="1936">
        <v>40725</v>
      </c>
      <c r="C9" s="1903">
        <v>25.83</v>
      </c>
      <c r="D9" s="1937" t="s">
        <v>1825</v>
      </c>
      <c r="E9" s="1903">
        <v>13.3</v>
      </c>
    </row>
    <row r="10" spans="2:5" x14ac:dyDescent="0.25">
      <c r="B10" s="1936">
        <v>41189</v>
      </c>
      <c r="C10" s="1903">
        <v>37.25</v>
      </c>
      <c r="D10" s="1937">
        <v>0.75</v>
      </c>
      <c r="E10" s="1903">
        <v>18.63</v>
      </c>
    </row>
    <row r="11" spans="2:5" x14ac:dyDescent="0.25">
      <c r="B11" s="1936">
        <v>41619</v>
      </c>
      <c r="C11" s="1903">
        <v>40.71</v>
      </c>
      <c r="D11" s="1937">
        <v>0.75</v>
      </c>
      <c r="E11" s="1903">
        <v>20.36</v>
      </c>
    </row>
    <row r="12" spans="2:5" x14ac:dyDescent="0.25">
      <c r="B12" s="1936">
        <v>41935</v>
      </c>
      <c r="C12" s="1903">
        <v>44.06</v>
      </c>
      <c r="D12" s="1937">
        <v>0.82</v>
      </c>
      <c r="E12" s="1903">
        <v>22.03</v>
      </c>
    </row>
    <row r="13" spans="2:5" x14ac:dyDescent="0.25">
      <c r="B13" s="1936">
        <v>42347</v>
      </c>
      <c r="C13" s="1903">
        <v>45.83</v>
      </c>
      <c r="D13" s="1937">
        <v>0.26</v>
      </c>
      <c r="E13" s="1903">
        <v>22.67</v>
      </c>
    </row>
    <row r="14" spans="2:5" x14ac:dyDescent="0.25">
      <c r="B14" s="1936">
        <v>42370</v>
      </c>
      <c r="C14" s="1903">
        <v>45.83</v>
      </c>
      <c r="D14" s="1937">
        <v>0.33</v>
      </c>
      <c r="E14" s="1903">
        <v>22.67</v>
      </c>
    </row>
    <row r="15" spans="2:5" x14ac:dyDescent="0.25">
      <c r="B15" s="1936">
        <v>42401</v>
      </c>
      <c r="C15" s="1903">
        <v>45.83</v>
      </c>
      <c r="D15" s="1937">
        <v>0.22</v>
      </c>
      <c r="E15" s="1903">
        <v>22.67</v>
      </c>
    </row>
    <row r="16" spans="2:5" x14ac:dyDescent="0.25">
      <c r="B16" s="1936">
        <v>42430</v>
      </c>
      <c r="C16" s="1903">
        <v>45.83</v>
      </c>
      <c r="D16" s="1937">
        <v>0.13</v>
      </c>
      <c r="E16" s="1903">
        <v>22.67</v>
      </c>
    </row>
    <row r="17" spans="2:5" x14ac:dyDescent="0.25">
      <c r="B17" s="1936">
        <v>42491</v>
      </c>
      <c r="C17" s="1903">
        <v>45.83</v>
      </c>
      <c r="D17" s="1937">
        <v>0.15</v>
      </c>
      <c r="E17" s="1903">
        <v>22.67</v>
      </c>
    </row>
    <row r="18" spans="2:5" x14ac:dyDescent="0.25">
      <c r="B18" s="1936">
        <v>42522</v>
      </c>
      <c r="C18" s="1903">
        <v>45.83</v>
      </c>
      <c r="D18" s="1937">
        <v>0.18</v>
      </c>
      <c r="E18" s="1903">
        <v>22.67</v>
      </c>
    </row>
    <row r="19" spans="2:5" x14ac:dyDescent="0.25">
      <c r="B19" s="1936">
        <v>42552</v>
      </c>
      <c r="C19" s="1903">
        <v>45.83</v>
      </c>
      <c r="D19" s="1937">
        <v>0.16</v>
      </c>
      <c r="E19" s="1903">
        <v>22.67</v>
      </c>
    </row>
    <row r="20" spans="2:5" x14ac:dyDescent="0.25">
      <c r="B20" s="1936">
        <v>42583</v>
      </c>
      <c r="C20" s="1903">
        <v>45.83</v>
      </c>
      <c r="D20" s="1937">
        <v>0.09</v>
      </c>
      <c r="E20" s="1903">
        <v>22.67</v>
      </c>
    </row>
    <row r="21" spans="2:5" x14ac:dyDescent="0.25">
      <c r="B21" s="1936">
        <v>42614</v>
      </c>
      <c r="C21" s="1903">
        <v>45.83</v>
      </c>
      <c r="D21" s="1937">
        <v>0.06</v>
      </c>
      <c r="E21" s="1903">
        <v>22.67</v>
      </c>
    </row>
    <row r="22" spans="2:5" x14ac:dyDescent="0.25">
      <c r="B22" s="1936">
        <v>42644</v>
      </c>
      <c r="C22" s="1903">
        <v>45.83</v>
      </c>
      <c r="D22" s="1937">
        <v>0.09</v>
      </c>
      <c r="E22" s="1903">
        <v>22.67</v>
      </c>
    </row>
    <row r="23" spans="2:5" x14ac:dyDescent="0.25">
      <c r="B23" s="1936">
        <v>42671</v>
      </c>
      <c r="C23" s="1903">
        <v>47.48</v>
      </c>
      <c r="D23" s="1937">
        <v>0.09</v>
      </c>
      <c r="E23" s="1903">
        <v>23.74</v>
      </c>
    </row>
    <row r="24" spans="2:5" x14ac:dyDescent="0.25">
      <c r="B24" s="1936">
        <v>42675</v>
      </c>
      <c r="C24" s="1903">
        <v>47.48</v>
      </c>
      <c r="D24" s="1937">
        <v>0.14000000000000001</v>
      </c>
      <c r="E24" s="1903">
        <v>23.74</v>
      </c>
    </row>
    <row r="25" spans="2:5" x14ac:dyDescent="0.25">
      <c r="B25" s="1936">
        <v>42705</v>
      </c>
      <c r="C25" s="1903">
        <v>47.48</v>
      </c>
      <c r="D25" s="1903">
        <v>0.21</v>
      </c>
      <c r="E25" s="1937">
        <v>23.74</v>
      </c>
    </row>
    <row r="26" spans="2:5" x14ac:dyDescent="0.25">
      <c r="B26" s="1936">
        <v>42767</v>
      </c>
      <c r="C26" s="1903">
        <v>47.48</v>
      </c>
      <c r="D26" s="1903">
        <v>0.3</v>
      </c>
      <c r="E26" s="1937">
        <v>23.74</v>
      </c>
    </row>
    <row r="27" spans="2:5" x14ac:dyDescent="0.25">
      <c r="B27" s="1936">
        <v>42795</v>
      </c>
      <c r="C27" s="1903">
        <v>47.48</v>
      </c>
      <c r="D27" s="1903">
        <v>0.43</v>
      </c>
      <c r="E27" s="1937">
        <v>23.74</v>
      </c>
    </row>
    <row r="28" spans="2:5" x14ac:dyDescent="0.25">
      <c r="B28" s="1936">
        <v>42826</v>
      </c>
      <c r="C28" s="1903">
        <v>47.48</v>
      </c>
      <c r="D28" s="1903">
        <v>0.4</v>
      </c>
      <c r="E28" s="1937">
        <v>23.74</v>
      </c>
    </row>
    <row r="29" spans="2:5" x14ac:dyDescent="0.25">
      <c r="B29" s="1936">
        <v>42856</v>
      </c>
      <c r="C29" s="1903">
        <v>47.48</v>
      </c>
      <c r="D29" s="1903">
        <v>0.27</v>
      </c>
      <c r="E29" s="1937">
        <v>23.74</v>
      </c>
    </row>
    <row r="30" spans="2:5" x14ac:dyDescent="0.25">
      <c r="B30" s="1936">
        <v>42887</v>
      </c>
      <c r="C30" s="1903">
        <v>47.48</v>
      </c>
      <c r="D30" s="1918">
        <v>0.15</v>
      </c>
      <c r="E30" s="1937">
        <v>23.74</v>
      </c>
    </row>
    <row r="31" spans="2:5" x14ac:dyDescent="0.25">
      <c r="B31" s="1936">
        <v>42917</v>
      </c>
      <c r="C31" s="1903">
        <v>47.48</v>
      </c>
      <c r="D31" s="1903">
        <v>0.13</v>
      </c>
      <c r="E31" s="1937">
        <v>23.74</v>
      </c>
    </row>
    <row r="32" spans="2:5" x14ac:dyDescent="0.25">
      <c r="B32" s="1936">
        <v>42948</v>
      </c>
      <c r="C32" s="1903">
        <v>47.48</v>
      </c>
      <c r="D32" s="1903">
        <v>0.06</v>
      </c>
      <c r="E32" s="1937">
        <v>23.74</v>
      </c>
    </row>
    <row r="33" spans="2:5" x14ac:dyDescent="0.25">
      <c r="B33" s="1936">
        <v>42979</v>
      </c>
      <c r="C33" s="1903">
        <v>47.48</v>
      </c>
      <c r="D33" s="1903">
        <v>0.16</v>
      </c>
      <c r="E33" s="1937">
        <v>23.74</v>
      </c>
    </row>
    <row r="34" spans="2:5" x14ac:dyDescent="0.25">
      <c r="B34" s="1936">
        <v>43008</v>
      </c>
      <c r="C34" s="1903">
        <v>48.89</v>
      </c>
      <c r="D34" s="1903">
        <v>0.16</v>
      </c>
      <c r="E34" s="1937">
        <v>24.2</v>
      </c>
    </row>
    <row r="35" spans="2:5" x14ac:dyDescent="0.25">
      <c r="B35" s="1936">
        <v>43009</v>
      </c>
      <c r="C35" s="1903">
        <v>48.89</v>
      </c>
      <c r="D35" s="1903">
        <v>0.23</v>
      </c>
      <c r="E35" s="1937">
        <v>24.2</v>
      </c>
    </row>
    <row r="36" spans="2:5" x14ac:dyDescent="0.25">
      <c r="B36" s="1936">
        <v>43040</v>
      </c>
      <c r="C36" s="1903">
        <v>48.89</v>
      </c>
      <c r="D36" s="1903">
        <v>0.36</v>
      </c>
      <c r="E36" s="1937">
        <v>24.2</v>
      </c>
    </row>
    <row r="37" spans="2:5" x14ac:dyDescent="0.25">
      <c r="B37" s="1936">
        <v>43101</v>
      </c>
      <c r="C37" s="1903">
        <v>48.89</v>
      </c>
      <c r="D37" s="1903">
        <v>0.35</v>
      </c>
      <c r="E37" s="1937">
        <v>24.2</v>
      </c>
    </row>
    <row r="38" spans="2:5" x14ac:dyDescent="0.25">
      <c r="B38" s="1936">
        <v>43132</v>
      </c>
      <c r="C38" s="1903">
        <v>48.89</v>
      </c>
      <c r="D38" s="1903">
        <v>0.34</v>
      </c>
      <c r="E38" s="1937">
        <v>24.2</v>
      </c>
    </row>
    <row r="39" spans="2:5" x14ac:dyDescent="0.25">
      <c r="B39" s="1936">
        <v>43160</v>
      </c>
      <c r="C39" s="1903">
        <v>48.89</v>
      </c>
      <c r="D39" s="1903">
        <v>0.28000000000000003</v>
      </c>
      <c r="E39" s="1937">
        <v>24.2</v>
      </c>
    </row>
    <row r="40" spans="2:5" x14ac:dyDescent="0.25">
      <c r="B40" s="1936">
        <v>43191</v>
      </c>
      <c r="C40" s="1903">
        <v>48.89</v>
      </c>
      <c r="D40" s="1903">
        <v>0.23</v>
      </c>
      <c r="E40" s="1937">
        <v>24.2</v>
      </c>
    </row>
    <row r="41" spans="2:5" x14ac:dyDescent="0.25">
      <c r="B41" s="1936">
        <v>43252</v>
      </c>
      <c r="C41" s="1903">
        <v>48.89</v>
      </c>
      <c r="D41" s="1903">
        <v>0.28999999999999998</v>
      </c>
      <c r="E41" s="1937">
        <v>24.2</v>
      </c>
    </row>
    <row r="42" spans="2:5" x14ac:dyDescent="0.25">
      <c r="B42" s="1936">
        <v>43282</v>
      </c>
      <c r="C42" s="1903">
        <v>48.89</v>
      </c>
      <c r="D42" s="1903">
        <v>0.36</v>
      </c>
      <c r="E42" s="1937">
        <v>24.2</v>
      </c>
    </row>
    <row r="43" spans="2:5" x14ac:dyDescent="0.25">
      <c r="B43" s="1936">
        <v>43313</v>
      </c>
      <c r="C43" s="1903">
        <v>48.89</v>
      </c>
      <c r="D43" s="1903">
        <v>0.42</v>
      </c>
      <c r="E43" s="1937">
        <v>24.2</v>
      </c>
    </row>
    <row r="44" spans="2:5" x14ac:dyDescent="0.25">
      <c r="B44" s="1936">
        <v>43344</v>
      </c>
      <c r="C44" s="1903">
        <v>48.89</v>
      </c>
      <c r="D44" s="1903">
        <v>0.46</v>
      </c>
      <c r="E44" s="1937">
        <v>24.2</v>
      </c>
    </row>
    <row r="45" spans="2:5" x14ac:dyDescent="0.25">
      <c r="B45" s="1936">
        <v>43374</v>
      </c>
      <c r="C45" s="1903">
        <v>48.89</v>
      </c>
      <c r="D45" s="1903">
        <v>0.54</v>
      </c>
      <c r="E45" s="1937">
        <v>24.2</v>
      </c>
    </row>
    <row r="46" spans="2:5" x14ac:dyDescent="0.25">
      <c r="B46" s="1936">
        <v>43405</v>
      </c>
      <c r="C46" s="1903">
        <v>48.89</v>
      </c>
      <c r="D46" s="1903">
        <v>0.63</v>
      </c>
      <c r="E46" s="1937">
        <v>24.2</v>
      </c>
    </row>
    <row r="47" spans="2:5" x14ac:dyDescent="0.25">
      <c r="B47" s="1938">
        <v>43411</v>
      </c>
      <c r="C47" s="1939">
        <v>50.58</v>
      </c>
      <c r="D47" s="1940">
        <v>0.63</v>
      </c>
      <c r="E47" s="1939">
        <v>25.29</v>
      </c>
    </row>
    <row r="48" spans="2:5" x14ac:dyDescent="0.25">
      <c r="B48" s="1938">
        <v>43435</v>
      </c>
      <c r="C48" s="1939">
        <v>50.58</v>
      </c>
      <c r="D48" s="1940">
        <v>0.45</v>
      </c>
      <c r="E48" s="1939">
        <v>25.29</v>
      </c>
    </row>
    <row r="49" spans="2:5" x14ac:dyDescent="0.25">
      <c r="B49" s="1938">
        <v>43466</v>
      </c>
      <c r="C49" s="1939">
        <v>50.58</v>
      </c>
      <c r="D49" s="1940">
        <v>0.28000000000000003</v>
      </c>
      <c r="E49" s="1939">
        <v>25.29</v>
      </c>
    </row>
    <row r="50" spans="2:5" x14ac:dyDescent="0.25">
      <c r="B50" s="1938">
        <v>43497</v>
      </c>
      <c r="C50" s="1939">
        <v>50.58</v>
      </c>
      <c r="D50" s="1940">
        <v>0.24</v>
      </c>
      <c r="E50" s="1939">
        <v>25.29</v>
      </c>
    </row>
    <row r="51" spans="2:5" x14ac:dyDescent="0.25">
      <c r="B51" s="1938">
        <v>43525</v>
      </c>
      <c r="C51" s="1939">
        <v>50.58</v>
      </c>
      <c r="D51" s="1940">
        <v>0.3</v>
      </c>
      <c r="E51" s="1939">
        <v>25.29</v>
      </c>
    </row>
    <row r="52" spans="2:5" x14ac:dyDescent="0.25">
      <c r="B52" s="1938">
        <v>43556</v>
      </c>
      <c r="C52" s="1939">
        <v>50.58</v>
      </c>
      <c r="D52" s="1940">
        <v>0.31</v>
      </c>
      <c r="E52" s="1939">
        <v>25.29</v>
      </c>
    </row>
    <row r="53" spans="2:5" x14ac:dyDescent="0.25">
      <c r="B53" s="1938">
        <v>43617</v>
      </c>
      <c r="C53" s="1939">
        <v>50.58</v>
      </c>
      <c r="D53" s="1940">
        <v>0.35</v>
      </c>
      <c r="E53" s="1939">
        <v>25.29</v>
      </c>
    </row>
    <row r="54" spans="2:5" x14ac:dyDescent="0.25">
      <c r="B54" s="1938">
        <v>43647</v>
      </c>
      <c r="C54" s="1939">
        <v>50.58</v>
      </c>
      <c r="D54" s="1940">
        <v>0.21</v>
      </c>
      <c r="E54" s="1939">
        <v>25.29</v>
      </c>
    </row>
    <row r="55" spans="2:5" x14ac:dyDescent="0.25">
      <c r="B55" s="1938">
        <v>43678</v>
      </c>
      <c r="C55" s="1939">
        <v>56.199999999999996</v>
      </c>
      <c r="D55" s="1940" t="s">
        <v>18</v>
      </c>
      <c r="E55" s="1939">
        <v>28.1</v>
      </c>
    </row>
    <row r="56" spans="2:5" x14ac:dyDescent="0.25">
      <c r="B56" s="1938">
        <v>43709</v>
      </c>
      <c r="C56" s="1939">
        <v>59.019999999999996</v>
      </c>
      <c r="D56" s="1940" t="s">
        <v>18</v>
      </c>
      <c r="E56" s="1939">
        <v>29.51</v>
      </c>
    </row>
    <row r="57" spans="2:5" x14ac:dyDescent="0.25">
      <c r="B57" s="1938">
        <v>43739</v>
      </c>
      <c r="C57" s="1939">
        <v>61.839999999999996</v>
      </c>
      <c r="D57" s="1940" t="s">
        <v>18</v>
      </c>
      <c r="E57" s="1939">
        <v>30.92</v>
      </c>
    </row>
    <row r="58" spans="2:5" x14ac:dyDescent="0.25">
      <c r="B58" s="1938">
        <v>44700</v>
      </c>
      <c r="C58" s="1939">
        <f>61.84+3</f>
        <v>64.84</v>
      </c>
      <c r="D58" s="1940" t="s">
        <v>18</v>
      </c>
      <c r="E58" s="1939">
        <v>32.42</v>
      </c>
    </row>
    <row r="59" spans="2:5" x14ac:dyDescent="0.25">
      <c r="B59" s="1938">
        <v>45203</v>
      </c>
      <c r="C59" s="1939">
        <v>73.08</v>
      </c>
      <c r="D59" s="1940" t="s">
        <v>18</v>
      </c>
      <c r="E59" s="1939">
        <v>36.54</v>
      </c>
    </row>
    <row r="60" spans="2:5" x14ac:dyDescent="0.25">
      <c r="B60" s="3726" t="s">
        <v>2854</v>
      </c>
      <c r="C60" s="3726"/>
      <c r="D60" s="3726"/>
      <c r="E60" s="950"/>
    </row>
  </sheetData>
  <mergeCells count="3">
    <mergeCell ref="B2:E2"/>
    <mergeCell ref="B3:E3"/>
    <mergeCell ref="B60:D60"/>
  </mergeCells>
  <pageMargins left="0.70866141732283505" right="0.70866141732283505" top="0.74803149606299202" bottom="0.74803149606299202" header="0.31496062992126" footer="0.31496062992126"/>
  <pageSetup paperSize="9" scale="74" orientation="portrait" r:id="rId1"/>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CDCF91-81F0-45F1-9894-582C5F8FA318}">
  <sheetPr>
    <tabColor theme="0"/>
    <pageSetUpPr fitToPage="1"/>
  </sheetPr>
  <dimension ref="B1:P28"/>
  <sheetViews>
    <sheetView showGridLines="0" view="pageBreakPreview" zoomScaleNormal="100" zoomScaleSheetLayoutView="100" workbookViewId="0">
      <selection activeCell="G7" sqref="G7"/>
    </sheetView>
  </sheetViews>
  <sheetFormatPr defaultColWidth="9.140625" defaultRowHeight="15" x14ac:dyDescent="0.25"/>
  <cols>
    <col min="1" max="1" width="4.140625" style="128" customWidth="1"/>
    <col min="2" max="2" width="53" style="128" customWidth="1"/>
    <col min="3" max="3" width="9" style="128" customWidth="1"/>
    <col min="4" max="4" width="10.42578125" style="128" customWidth="1"/>
    <col min="5" max="5" width="10.140625" style="128" customWidth="1"/>
    <col min="6" max="6" width="14.42578125" style="128" customWidth="1"/>
    <col min="7" max="9" width="9.140625" style="128"/>
    <col min="10" max="12" width="9.28515625" style="128" bestFit="1" customWidth="1"/>
    <col min="13" max="13" width="9.5703125" style="128" bestFit="1" customWidth="1"/>
    <col min="14" max="16384" width="9.140625" style="128"/>
  </cols>
  <sheetData>
    <row r="1" spans="2:16" ht="37.5" customHeight="1" x14ac:dyDescent="0.25">
      <c r="B1" s="3728" t="s">
        <v>2263</v>
      </c>
      <c r="C1" s="3729"/>
      <c r="D1" s="3729"/>
      <c r="E1" s="3729"/>
      <c r="F1" s="3730"/>
    </row>
    <row r="2" spans="2:16" x14ac:dyDescent="0.25">
      <c r="B2" s="3731"/>
      <c r="C2" s="3731"/>
      <c r="D2" s="3731"/>
      <c r="E2" s="3731"/>
      <c r="F2" s="3731"/>
    </row>
    <row r="3" spans="2:16" ht="40.5" customHeight="1" x14ac:dyDescent="0.25">
      <c r="B3" s="2403" t="s">
        <v>2264</v>
      </c>
      <c r="C3" s="2403" t="s">
        <v>2265</v>
      </c>
      <c r="D3" s="2403" t="s">
        <v>2266</v>
      </c>
      <c r="E3" s="2403" t="s">
        <v>2267</v>
      </c>
      <c r="F3" s="2403" t="s">
        <v>2268</v>
      </c>
    </row>
    <row r="4" spans="2:16" x14ac:dyDescent="0.25">
      <c r="B4" s="2404" t="s">
        <v>1826</v>
      </c>
      <c r="C4" s="2406" t="s">
        <v>2984</v>
      </c>
      <c r="D4" s="2406" t="s">
        <v>2985</v>
      </c>
      <c r="E4" s="2407" t="s">
        <v>2986</v>
      </c>
      <c r="F4" s="2407" t="s">
        <v>2987</v>
      </c>
    </row>
    <row r="5" spans="2:16" x14ac:dyDescent="0.25">
      <c r="B5" s="2404" t="s">
        <v>1827</v>
      </c>
      <c r="C5" s="2408" t="s">
        <v>2988</v>
      </c>
      <c r="D5" s="2408">
        <v>106.32</v>
      </c>
      <c r="E5" s="2408">
        <v>77.5</v>
      </c>
      <c r="F5" s="2408" t="s">
        <v>2989</v>
      </c>
    </row>
    <row r="6" spans="2:16" x14ac:dyDescent="0.25">
      <c r="B6" s="2404" t="s">
        <v>1828</v>
      </c>
      <c r="C6" s="2408">
        <v>118.33</v>
      </c>
      <c r="D6" s="2408">
        <v>109.19</v>
      </c>
      <c r="E6" s="2408">
        <v>81.459999999999994</v>
      </c>
      <c r="F6" s="2408">
        <v>1547.22</v>
      </c>
    </row>
    <row r="7" spans="2:16" x14ac:dyDescent="0.25">
      <c r="B7" s="2404" t="s">
        <v>1829</v>
      </c>
      <c r="C7" s="2408">
        <v>124.07</v>
      </c>
      <c r="D7" s="2408">
        <v>122.82</v>
      </c>
      <c r="E7" s="2408">
        <v>122.82</v>
      </c>
      <c r="F7" s="2408">
        <v>1297.43</v>
      </c>
    </row>
    <row r="8" spans="2:16" ht="66" customHeight="1" x14ac:dyDescent="0.25">
      <c r="B8" s="3732" t="s">
        <v>2990</v>
      </c>
      <c r="C8" s="3733"/>
      <c r="D8" s="3733"/>
      <c r="E8" s="3733"/>
      <c r="F8" s="3734"/>
    </row>
    <row r="9" spans="2:16" ht="128.25" customHeight="1" x14ac:dyDescent="0.25">
      <c r="B9" s="3735" t="s">
        <v>2991</v>
      </c>
      <c r="C9" s="3736"/>
      <c r="D9" s="3736"/>
      <c r="E9" s="3736"/>
      <c r="F9" s="3737"/>
    </row>
    <row r="10" spans="2:16" x14ac:dyDescent="0.25">
      <c r="B10" s="950"/>
      <c r="C10" s="950"/>
      <c r="D10" s="950"/>
      <c r="E10" s="950"/>
    </row>
    <row r="12" spans="2:16" ht="35.25" customHeight="1" x14ac:dyDescent="0.25">
      <c r="B12" s="3738" t="s">
        <v>3007</v>
      </c>
      <c r="C12" s="3739"/>
      <c r="D12" s="3739"/>
      <c r="E12" s="3739"/>
      <c r="F12" s="3740"/>
    </row>
    <row r="13" spans="2:16" x14ac:dyDescent="0.25">
      <c r="B13" s="3727"/>
      <c r="C13" s="3727"/>
      <c r="D13" s="3727"/>
      <c r="E13" s="3727"/>
      <c r="F13" s="3727"/>
    </row>
    <row r="14" spans="2:16" ht="30" customHeight="1" x14ac:dyDescent="0.25">
      <c r="B14" s="2403" t="s">
        <v>116</v>
      </c>
      <c r="C14" s="3741" t="s">
        <v>2855</v>
      </c>
      <c r="D14" s="3741"/>
      <c r="E14" s="3742" t="s">
        <v>2856</v>
      </c>
      <c r="F14" s="3743"/>
    </row>
    <row r="15" spans="2:16" x14ac:dyDescent="0.25">
      <c r="B15" s="2404" t="s">
        <v>1830</v>
      </c>
      <c r="C15" s="3744">
        <v>102.12</v>
      </c>
      <c r="D15" s="3745"/>
      <c r="E15" s="3746">
        <v>95.2</v>
      </c>
      <c r="F15" s="3746"/>
      <c r="I15" s="128">
        <v>102.12</v>
      </c>
      <c r="J15" s="2023">
        <v>95.2</v>
      </c>
      <c r="N15" s="128">
        <v>102.12</v>
      </c>
      <c r="P15" s="128">
        <v>95.2</v>
      </c>
    </row>
    <row r="16" spans="2:16" x14ac:dyDescent="0.25">
      <c r="B16" s="2404" t="s">
        <v>143</v>
      </c>
      <c r="C16" s="3744">
        <v>217.77</v>
      </c>
      <c r="D16" s="3745"/>
      <c r="E16" s="3746">
        <v>214.73</v>
      </c>
      <c r="F16" s="3746"/>
      <c r="I16" s="128">
        <v>217.77</v>
      </c>
      <c r="J16" s="2023">
        <v>214.73</v>
      </c>
      <c r="N16" s="128">
        <v>217.77</v>
      </c>
      <c r="P16" s="128">
        <v>214.73</v>
      </c>
    </row>
    <row r="17" spans="2:16" x14ac:dyDescent="0.25">
      <c r="B17" s="2404" t="s">
        <v>137</v>
      </c>
      <c r="C17" s="3744">
        <v>209.6</v>
      </c>
      <c r="D17" s="3745"/>
      <c r="E17" s="3746">
        <v>197.25</v>
      </c>
      <c r="F17" s="3746"/>
      <c r="I17" s="128">
        <v>209.6</v>
      </c>
      <c r="J17" s="2023">
        <v>197.25</v>
      </c>
      <c r="N17" s="128">
        <v>209.6</v>
      </c>
      <c r="P17" s="128">
        <v>197.25</v>
      </c>
    </row>
    <row r="18" spans="2:16" x14ac:dyDescent="0.25">
      <c r="B18" s="2404" t="s">
        <v>201</v>
      </c>
      <c r="C18" s="3744">
        <v>206.27</v>
      </c>
      <c r="D18" s="3745"/>
      <c r="E18" s="3746">
        <v>215.58</v>
      </c>
      <c r="F18" s="3746"/>
      <c r="I18" s="128">
        <v>206.27</v>
      </c>
      <c r="J18" s="2023">
        <v>215.58</v>
      </c>
      <c r="N18" s="128">
        <v>206.27</v>
      </c>
      <c r="P18" s="128">
        <v>215.58</v>
      </c>
    </row>
    <row r="19" spans="2:16" x14ac:dyDescent="0.25">
      <c r="B19" s="2404" t="s">
        <v>200</v>
      </c>
      <c r="C19" s="3744">
        <v>163.35</v>
      </c>
      <c r="D19" s="3745"/>
      <c r="E19" s="3746">
        <v>172.84</v>
      </c>
      <c r="F19" s="3746"/>
      <c r="I19" s="128">
        <v>163.35</v>
      </c>
      <c r="J19" s="2023">
        <v>172.84</v>
      </c>
      <c r="N19" s="128">
        <v>163.35</v>
      </c>
      <c r="P19" s="128">
        <v>172.84</v>
      </c>
    </row>
    <row r="20" spans="2:16" ht="15" customHeight="1" x14ac:dyDescent="0.25">
      <c r="B20" s="2404" t="s">
        <v>1831</v>
      </c>
      <c r="C20" s="3744">
        <v>196.68</v>
      </c>
      <c r="D20" s="3745"/>
      <c r="E20" s="3746">
        <v>223.37</v>
      </c>
      <c r="F20" s="3746"/>
      <c r="I20" s="128">
        <v>196.68</v>
      </c>
      <c r="J20" s="2023">
        <v>223.37</v>
      </c>
      <c r="N20" s="128">
        <v>196.68</v>
      </c>
      <c r="P20" s="128">
        <v>223.37</v>
      </c>
    </row>
    <row r="21" spans="2:16" ht="15" customHeight="1" x14ac:dyDescent="0.25">
      <c r="B21" s="2404" t="s">
        <v>135</v>
      </c>
      <c r="C21" s="3744">
        <v>100.29</v>
      </c>
      <c r="D21" s="3745"/>
      <c r="E21" s="3746">
        <v>93.92</v>
      </c>
      <c r="F21" s="3746"/>
      <c r="I21" s="128">
        <v>100.29</v>
      </c>
      <c r="J21" s="2023">
        <v>93.92</v>
      </c>
      <c r="N21" s="128">
        <v>100.29</v>
      </c>
      <c r="P21" s="128">
        <v>93.92</v>
      </c>
    </row>
    <row r="22" spans="2:16" x14ac:dyDescent="0.25">
      <c r="B22" s="2404" t="s">
        <v>136</v>
      </c>
      <c r="C22" s="3744">
        <v>116.62</v>
      </c>
      <c r="D22" s="3745"/>
      <c r="E22" s="3746">
        <v>132.29</v>
      </c>
      <c r="F22" s="3746"/>
      <c r="I22" s="128">
        <v>116.62</v>
      </c>
      <c r="J22" s="2023">
        <v>132.29</v>
      </c>
      <c r="N22" s="128">
        <v>116.62</v>
      </c>
      <c r="P22" s="128">
        <v>132.29</v>
      </c>
    </row>
    <row r="23" spans="2:16" x14ac:dyDescent="0.25">
      <c r="B23" s="2404" t="s">
        <v>128</v>
      </c>
      <c r="C23" s="3744">
        <v>101.62</v>
      </c>
      <c r="D23" s="3745"/>
      <c r="E23" s="3746">
        <v>126.02</v>
      </c>
      <c r="F23" s="3746"/>
      <c r="I23" s="128">
        <v>101.62</v>
      </c>
      <c r="J23" s="2023">
        <v>126.02</v>
      </c>
      <c r="N23" s="128">
        <v>101.62</v>
      </c>
      <c r="P23" s="128">
        <v>126.02</v>
      </c>
    </row>
    <row r="24" spans="2:16" x14ac:dyDescent="0.25">
      <c r="B24" s="2405" t="s">
        <v>945</v>
      </c>
      <c r="C24" s="950"/>
      <c r="D24" s="950"/>
      <c r="E24" s="950"/>
      <c r="F24" s="950"/>
    </row>
    <row r="25" spans="2:16" ht="31.5" customHeight="1" x14ac:dyDescent="0.25">
      <c r="B25" s="3750" t="s">
        <v>2857</v>
      </c>
      <c r="C25" s="3750"/>
      <c r="D25" s="3750"/>
      <c r="E25" s="3750"/>
      <c r="F25" s="3750"/>
    </row>
    <row r="26" spans="2:16" ht="18" customHeight="1" x14ac:dyDescent="0.25">
      <c r="B26" s="3751" t="s">
        <v>2858</v>
      </c>
      <c r="C26" s="3751"/>
      <c r="D26" s="3751"/>
      <c r="E26" s="3751"/>
      <c r="F26" s="3751"/>
    </row>
    <row r="27" spans="2:16" ht="33" customHeight="1" x14ac:dyDescent="0.25">
      <c r="B27" s="3747" t="s">
        <v>3018</v>
      </c>
      <c r="C27" s="3748"/>
      <c r="D27" s="3748"/>
      <c r="E27" s="3748"/>
      <c r="F27" s="3749"/>
    </row>
    <row r="28" spans="2:16" ht="19.5" customHeight="1" x14ac:dyDescent="0.25">
      <c r="B28" s="3747" t="s">
        <v>2992</v>
      </c>
      <c r="C28" s="3748"/>
      <c r="D28" s="3748"/>
      <c r="E28" s="3748"/>
      <c r="F28" s="3749"/>
    </row>
  </sheetData>
  <mergeCells count="30">
    <mergeCell ref="B28:F28"/>
    <mergeCell ref="C20:D20"/>
    <mergeCell ref="E20:F20"/>
    <mergeCell ref="C21:D21"/>
    <mergeCell ref="E21:F21"/>
    <mergeCell ref="C22:D22"/>
    <mergeCell ref="E22:F22"/>
    <mergeCell ref="C23:D23"/>
    <mergeCell ref="E23:F23"/>
    <mergeCell ref="B25:F25"/>
    <mergeCell ref="B26:F26"/>
    <mergeCell ref="B27:F27"/>
    <mergeCell ref="C17:D17"/>
    <mergeCell ref="E17:F17"/>
    <mergeCell ref="C18:D18"/>
    <mergeCell ref="E18:F18"/>
    <mergeCell ref="C19:D19"/>
    <mergeCell ref="E19:F19"/>
    <mergeCell ref="C14:D14"/>
    <mergeCell ref="E14:F14"/>
    <mergeCell ref="C15:D15"/>
    <mergeCell ref="E15:F15"/>
    <mergeCell ref="C16:D16"/>
    <mergeCell ref="E16:F16"/>
    <mergeCell ref="B13:F13"/>
    <mergeCell ref="B1:F1"/>
    <mergeCell ref="B2:F2"/>
    <mergeCell ref="B8:F8"/>
    <mergeCell ref="B9:F9"/>
    <mergeCell ref="B12:F12"/>
  </mergeCells>
  <hyperlinks>
    <hyperlink ref="F5" r:id="rId1" display="1017.25@" xr:uid="{676B4838-3DA4-4C7D-B2FD-68688C242E85}"/>
  </hyperlinks>
  <pageMargins left="0.7" right="0.7" top="0.75" bottom="0.75" header="0.3" footer="0.3"/>
  <pageSetup paperSize="9" scale="86" orientation="portrait"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863679-1D00-43D0-BAFB-06E65F02189C}">
  <sheetPr>
    <tabColor theme="0"/>
    <pageSetUpPr fitToPage="1"/>
  </sheetPr>
  <dimension ref="A1:K51"/>
  <sheetViews>
    <sheetView showGridLines="0" view="pageBreakPreview" zoomScaleNormal="100" zoomScaleSheetLayoutView="100" workbookViewId="0">
      <selection activeCell="B81" sqref="B81"/>
    </sheetView>
  </sheetViews>
  <sheetFormatPr defaultColWidth="9.140625" defaultRowHeight="15" x14ac:dyDescent="0.25"/>
  <cols>
    <col min="1" max="1" width="2.140625" style="128" customWidth="1"/>
    <col min="2" max="2" width="38.85546875" style="128" customWidth="1"/>
    <col min="3" max="3" width="19.7109375" style="128" bestFit="1" customWidth="1"/>
    <col min="4" max="4" width="9.85546875" style="128" customWidth="1"/>
    <col min="5" max="5" width="7.140625" style="128" bestFit="1" customWidth="1"/>
    <col min="6" max="6" width="13" style="220" customWidth="1"/>
    <col min="7" max="7" width="13.7109375" style="842" bestFit="1" customWidth="1"/>
    <col min="8" max="8" width="10.140625" style="842" bestFit="1" customWidth="1"/>
    <col min="9" max="10" width="9.140625" style="128"/>
    <col min="11" max="11" width="13.7109375" style="128" bestFit="1" customWidth="1"/>
    <col min="12" max="12" width="6.7109375" style="128" bestFit="1" customWidth="1"/>
    <col min="13" max="16384" width="9.140625" style="128"/>
  </cols>
  <sheetData>
    <row r="1" spans="2:9" ht="33" customHeight="1" x14ac:dyDescent="0.25">
      <c r="B1" s="3755" t="s">
        <v>2993</v>
      </c>
      <c r="C1" s="3756"/>
      <c r="D1" s="3756"/>
      <c r="E1" s="3756"/>
      <c r="F1" s="3757"/>
    </row>
    <row r="2" spans="2:9" x14ac:dyDescent="0.25">
      <c r="B2" s="3758"/>
      <c r="C2" s="3758"/>
      <c r="D2" s="3758"/>
      <c r="E2" s="3758"/>
      <c r="F2" s="3758"/>
    </row>
    <row r="3" spans="2:9" ht="45" x14ac:dyDescent="0.25">
      <c r="B3" s="3759" t="s">
        <v>401</v>
      </c>
      <c r="C3" s="3760" t="s">
        <v>1832</v>
      </c>
      <c r="D3" s="2417" t="s">
        <v>1151</v>
      </c>
      <c r="E3" s="2417" t="s">
        <v>1154</v>
      </c>
      <c r="F3" s="2418" t="s">
        <v>1833</v>
      </c>
    </row>
    <row r="4" spans="2:9" ht="30" x14ac:dyDescent="0.25">
      <c r="B4" s="3759"/>
      <c r="C4" s="3760"/>
      <c r="D4" s="3761" t="s">
        <v>1834</v>
      </c>
      <c r="E4" s="3761"/>
      <c r="F4" s="2419" t="s">
        <v>1835</v>
      </c>
    </row>
    <row r="5" spans="2:9" x14ac:dyDescent="0.25">
      <c r="B5" s="1919" t="s">
        <v>1490</v>
      </c>
      <c r="C5" s="1917" t="s">
        <v>2322</v>
      </c>
      <c r="D5" s="2412">
        <v>88.660000000000011</v>
      </c>
      <c r="E5" s="2412">
        <v>84.56</v>
      </c>
      <c r="F5" s="1941">
        <v>1018</v>
      </c>
      <c r="I5" s="2002">
        <f>F5</f>
        <v>1018</v>
      </c>
    </row>
    <row r="6" spans="2:9" x14ac:dyDescent="0.25">
      <c r="B6" s="1917" t="s">
        <v>221</v>
      </c>
      <c r="C6" s="1917" t="s">
        <v>1836</v>
      </c>
      <c r="D6" s="2410">
        <v>117.78</v>
      </c>
      <c r="E6" s="2411">
        <v>105.45</v>
      </c>
      <c r="F6" s="1941">
        <v>974.5</v>
      </c>
      <c r="I6" s="2002">
        <f t="shared" ref="I6:I39" si="0">F6</f>
        <v>974.5</v>
      </c>
    </row>
    <row r="7" spans="2:9" x14ac:dyDescent="0.25">
      <c r="B7" s="1917" t="s">
        <v>220</v>
      </c>
      <c r="C7" s="1917" t="s">
        <v>1837</v>
      </c>
      <c r="D7" s="1941">
        <v>97.95</v>
      </c>
      <c r="E7" s="1941">
        <v>87.31</v>
      </c>
      <c r="F7" s="1941">
        <v>1007.5</v>
      </c>
      <c r="I7" s="2002">
        <f t="shared" si="0"/>
        <v>1007.5</v>
      </c>
    </row>
    <row r="8" spans="2:9" x14ac:dyDescent="0.25">
      <c r="B8" s="1917" t="s">
        <v>331</v>
      </c>
      <c r="C8" s="1917" t="s">
        <v>1008</v>
      </c>
      <c r="D8" s="1941">
        <v>105.73</v>
      </c>
      <c r="E8" s="1941">
        <v>97.23</v>
      </c>
      <c r="F8" s="1941">
        <v>991</v>
      </c>
      <c r="I8" s="2002">
        <f t="shared" si="0"/>
        <v>991</v>
      </c>
    </row>
    <row r="9" spans="2:9" x14ac:dyDescent="0.25">
      <c r="B9" s="1917" t="s">
        <v>426</v>
      </c>
      <c r="C9" s="1917" t="s">
        <v>1838</v>
      </c>
      <c r="D9" s="1941">
        <v>113.37</v>
      </c>
      <c r="E9" s="1941">
        <v>99.36</v>
      </c>
      <c r="F9" s="1941">
        <v>1040</v>
      </c>
      <c r="I9" s="2002">
        <f>F9</f>
        <v>1040</v>
      </c>
    </row>
    <row r="10" spans="2:9" x14ac:dyDescent="0.25">
      <c r="B10" s="1917" t="s">
        <v>1484</v>
      </c>
      <c r="C10" s="1917" t="s">
        <v>1484</v>
      </c>
      <c r="D10" s="1941">
        <v>101.54</v>
      </c>
      <c r="E10" s="1941">
        <v>89.47</v>
      </c>
      <c r="F10" s="1941">
        <v>951.5</v>
      </c>
      <c r="I10" s="2002">
        <f t="shared" si="0"/>
        <v>951.5</v>
      </c>
    </row>
    <row r="11" spans="2:9" x14ac:dyDescent="0.25">
      <c r="B11" s="1917" t="s">
        <v>2323</v>
      </c>
      <c r="C11" s="1917" t="s">
        <v>1839</v>
      </c>
      <c r="D11" s="1941">
        <v>108.06</v>
      </c>
      <c r="E11" s="1941">
        <v>101.32000000000001</v>
      </c>
      <c r="F11" s="1941">
        <v>1013</v>
      </c>
      <c r="I11" s="2002">
        <f t="shared" si="0"/>
        <v>1013</v>
      </c>
    </row>
    <row r="12" spans="2:9" x14ac:dyDescent="0.25">
      <c r="B12" s="1917" t="s">
        <v>1840</v>
      </c>
      <c r="C12" s="1917" t="s">
        <v>1841</v>
      </c>
      <c r="D12" s="1941">
        <v>99.5</v>
      </c>
      <c r="E12" s="1941">
        <v>95.4</v>
      </c>
      <c r="F12" s="1941">
        <v>951.5</v>
      </c>
      <c r="I12" s="2002">
        <f t="shared" si="0"/>
        <v>951.5</v>
      </c>
    </row>
    <row r="13" spans="2:9" x14ac:dyDescent="0.25">
      <c r="B13" s="1917" t="s">
        <v>1485</v>
      </c>
      <c r="C13" s="1917" t="s">
        <v>1842</v>
      </c>
      <c r="D13" s="1941">
        <v>102.12</v>
      </c>
      <c r="E13" s="1941">
        <v>95.2</v>
      </c>
      <c r="F13" s="1941">
        <v>942</v>
      </c>
      <c r="I13" s="2002">
        <f t="shared" si="0"/>
        <v>942</v>
      </c>
    </row>
    <row r="14" spans="2:9" x14ac:dyDescent="0.25">
      <c r="B14" s="1917" t="s">
        <v>466</v>
      </c>
      <c r="C14" s="1917" t="s">
        <v>2324</v>
      </c>
      <c r="D14" s="1941">
        <v>103.92</v>
      </c>
      <c r="E14" s="1941">
        <v>95.81</v>
      </c>
      <c r="F14" s="1941">
        <v>956</v>
      </c>
      <c r="I14" s="2002">
        <f t="shared" si="0"/>
        <v>956</v>
      </c>
    </row>
    <row r="15" spans="2:9" x14ac:dyDescent="0.25">
      <c r="B15" s="1917" t="s">
        <v>822</v>
      </c>
      <c r="C15" s="1917" t="s">
        <v>1843</v>
      </c>
      <c r="D15" s="1941">
        <v>102.01</v>
      </c>
      <c r="E15" s="1941">
        <v>98.13000000000001</v>
      </c>
      <c r="F15" s="1941">
        <v>967.5</v>
      </c>
      <c r="I15" s="2002">
        <f t="shared" si="0"/>
        <v>967.5</v>
      </c>
    </row>
    <row r="16" spans="2:9" x14ac:dyDescent="0.25">
      <c r="B16" s="1917" t="s">
        <v>507</v>
      </c>
      <c r="C16" s="1917" t="s">
        <v>1844</v>
      </c>
      <c r="D16" s="1941">
        <v>103.26</v>
      </c>
      <c r="E16" s="1941">
        <v>95.9</v>
      </c>
      <c r="F16" s="1941">
        <v>959.5</v>
      </c>
      <c r="I16" s="2002">
        <f t="shared" si="0"/>
        <v>959.5</v>
      </c>
    </row>
    <row r="17" spans="2:9" x14ac:dyDescent="0.25">
      <c r="B17" s="1917" t="s">
        <v>538</v>
      </c>
      <c r="C17" s="1917" t="s">
        <v>1845</v>
      </c>
      <c r="D17" s="1941">
        <v>102.54</v>
      </c>
      <c r="E17" s="1941">
        <v>94.52000000000001</v>
      </c>
      <c r="F17" s="1941">
        <v>986.5</v>
      </c>
      <c r="I17" s="2002">
        <f t="shared" si="0"/>
        <v>986.5</v>
      </c>
    </row>
    <row r="18" spans="2:9" x14ac:dyDescent="0.25">
      <c r="B18" s="1917" t="s">
        <v>1521</v>
      </c>
      <c r="C18" s="1942" t="s">
        <v>1846</v>
      </c>
      <c r="D18" s="1941">
        <v>107.97</v>
      </c>
      <c r="E18" s="1941">
        <v>96.14</v>
      </c>
      <c r="F18" s="1941">
        <v>1058</v>
      </c>
      <c r="I18" s="2002">
        <f t="shared" si="0"/>
        <v>1058</v>
      </c>
    </row>
    <row r="19" spans="2:9" x14ac:dyDescent="0.25">
      <c r="B19" s="1917" t="s">
        <v>541</v>
      </c>
      <c r="C19" s="1917" t="s">
        <v>1847</v>
      </c>
      <c r="D19" s="1941">
        <v>105.29</v>
      </c>
      <c r="E19" s="1941">
        <v>100.49000000000001</v>
      </c>
      <c r="F19" s="1941">
        <v>999.5</v>
      </c>
      <c r="I19" s="2002">
        <f t="shared" si="0"/>
        <v>999.5</v>
      </c>
    </row>
    <row r="20" spans="2:9" x14ac:dyDescent="0.25">
      <c r="B20" s="1917" t="s">
        <v>550</v>
      </c>
      <c r="C20" s="1917" t="s">
        <v>1848</v>
      </c>
      <c r="D20" s="1941">
        <v>110.93</v>
      </c>
      <c r="E20" s="1941">
        <v>98.800000000000011</v>
      </c>
      <c r="F20" s="1941">
        <v>944.5</v>
      </c>
      <c r="I20" s="2002">
        <f t="shared" si="0"/>
        <v>944.5</v>
      </c>
    </row>
    <row r="21" spans="2:9" x14ac:dyDescent="0.25">
      <c r="B21" s="1917" t="s">
        <v>568</v>
      </c>
      <c r="C21" s="1917" t="s">
        <v>1849</v>
      </c>
      <c r="D21" s="1941">
        <v>115.49000000000001</v>
      </c>
      <c r="E21" s="1941">
        <v>104.4</v>
      </c>
      <c r="F21" s="1941">
        <v>951</v>
      </c>
      <c r="I21" s="2002">
        <f t="shared" si="0"/>
        <v>951</v>
      </c>
    </row>
    <row r="22" spans="2:9" x14ac:dyDescent="0.25">
      <c r="B22" s="1917" t="s">
        <v>1488</v>
      </c>
      <c r="C22" s="1917" t="s">
        <v>1850</v>
      </c>
      <c r="D22" s="1941">
        <v>108.78</v>
      </c>
      <c r="E22" s="1941">
        <v>93.910000000000011</v>
      </c>
      <c r="F22" s="2411">
        <v>1179</v>
      </c>
      <c r="I22" s="2002">
        <f t="shared" si="0"/>
        <v>1179</v>
      </c>
    </row>
    <row r="23" spans="2:9" x14ac:dyDescent="0.25">
      <c r="B23" s="1917" t="s">
        <v>578</v>
      </c>
      <c r="C23" s="1917" t="s">
        <v>1851</v>
      </c>
      <c r="D23" s="1941">
        <v>114.57000000000001</v>
      </c>
      <c r="E23" s="1941">
        <v>99.64</v>
      </c>
      <c r="F23" s="1941">
        <v>947.5</v>
      </c>
      <c r="I23" s="2002">
        <f t="shared" si="0"/>
        <v>947.5</v>
      </c>
    </row>
    <row r="24" spans="2:9" x14ac:dyDescent="0.25">
      <c r="B24" s="1917" t="s">
        <v>606</v>
      </c>
      <c r="C24" s="1917" t="s">
        <v>1113</v>
      </c>
      <c r="D24" s="1941">
        <v>111.21000000000001</v>
      </c>
      <c r="E24" s="1941">
        <v>97.83</v>
      </c>
      <c r="F24" s="2412">
        <v>941.5</v>
      </c>
      <c r="I24" s="2002">
        <f t="shared" si="0"/>
        <v>941.5</v>
      </c>
    </row>
    <row r="25" spans="2:9" x14ac:dyDescent="0.25">
      <c r="B25" s="1917" t="s">
        <v>1492</v>
      </c>
      <c r="C25" s="1917" t="s">
        <v>1852</v>
      </c>
      <c r="D25" s="1941">
        <v>106.87</v>
      </c>
      <c r="E25" s="1941">
        <v>92.570000000000007</v>
      </c>
      <c r="F25" s="1941">
        <v>1093.5</v>
      </c>
      <c r="I25" s="2002">
        <f t="shared" si="0"/>
        <v>1093.5</v>
      </c>
    </row>
    <row r="26" spans="2:9" x14ac:dyDescent="0.25">
      <c r="B26" s="1917" t="s">
        <v>1493</v>
      </c>
      <c r="C26" s="1917" t="s">
        <v>1853</v>
      </c>
      <c r="D26" s="1941">
        <v>102.60000000000001</v>
      </c>
      <c r="E26" s="1941">
        <v>94.100000000000009</v>
      </c>
      <c r="F26" s="1941">
        <v>1009</v>
      </c>
      <c r="I26" s="2002">
        <f t="shared" si="0"/>
        <v>1009</v>
      </c>
    </row>
    <row r="27" spans="2:9" x14ac:dyDescent="0.25">
      <c r="B27" s="1917" t="s">
        <v>1494</v>
      </c>
      <c r="C27" s="1917" t="s">
        <v>1854</v>
      </c>
      <c r="D27" s="1941">
        <v>106.55000000000001</v>
      </c>
      <c r="E27" s="1941">
        <v>95.17</v>
      </c>
      <c r="F27" s="1941">
        <v>1094</v>
      </c>
      <c r="I27" s="2002">
        <f t="shared" si="0"/>
        <v>1094</v>
      </c>
    </row>
    <row r="28" spans="2:9" x14ac:dyDescent="0.25">
      <c r="B28" s="1917" t="s">
        <v>1495</v>
      </c>
      <c r="C28" s="1917" t="s">
        <v>1855</v>
      </c>
      <c r="D28" s="1941">
        <v>104.87</v>
      </c>
      <c r="E28" s="1941">
        <v>96.160000000000011</v>
      </c>
      <c r="F28" s="1941">
        <v>961</v>
      </c>
      <c r="I28" s="2002">
        <f t="shared" si="0"/>
        <v>961</v>
      </c>
    </row>
    <row r="29" spans="2:9" x14ac:dyDescent="0.25">
      <c r="B29" s="1917" t="s">
        <v>631</v>
      </c>
      <c r="C29" s="1917" t="s">
        <v>1856</v>
      </c>
      <c r="D29" s="1941">
        <v>109</v>
      </c>
      <c r="E29" s="1941">
        <v>100.68</v>
      </c>
      <c r="F29" s="1941">
        <v>968</v>
      </c>
      <c r="I29" s="2002">
        <f t="shared" si="0"/>
        <v>968</v>
      </c>
    </row>
    <row r="30" spans="2:9" x14ac:dyDescent="0.25">
      <c r="B30" s="1917" t="s">
        <v>851</v>
      </c>
      <c r="C30" s="1917" t="s">
        <v>851</v>
      </c>
      <c r="D30" s="1941">
        <v>103.61</v>
      </c>
      <c r="E30" s="1941">
        <v>93.79</v>
      </c>
      <c r="F30" s="1941">
        <v>954</v>
      </c>
      <c r="I30" s="2002">
        <f t="shared" si="0"/>
        <v>954</v>
      </c>
    </row>
    <row r="31" spans="2:9" x14ac:dyDescent="0.25">
      <c r="B31" s="1917" t="s">
        <v>645</v>
      </c>
      <c r="C31" s="1917" t="s">
        <v>2325</v>
      </c>
      <c r="D31" s="1941">
        <v>104.82000000000001</v>
      </c>
      <c r="E31" s="1941">
        <v>94.76</v>
      </c>
      <c r="F31" s="1941">
        <v>971.5</v>
      </c>
      <c r="I31" s="2002">
        <f t="shared" si="0"/>
        <v>971.5</v>
      </c>
    </row>
    <row r="32" spans="2:9" x14ac:dyDescent="0.25">
      <c r="B32" s="1917" t="s">
        <v>223</v>
      </c>
      <c r="C32" s="1917" t="s">
        <v>1857</v>
      </c>
      <c r="D32" s="1941">
        <v>112.69000000000001</v>
      </c>
      <c r="E32" s="1941">
        <v>97.78</v>
      </c>
      <c r="F32" s="1941">
        <v>945.5</v>
      </c>
      <c r="I32" s="2002">
        <f t="shared" si="0"/>
        <v>945.5</v>
      </c>
    </row>
    <row r="33" spans="1:11" x14ac:dyDescent="0.25">
      <c r="B33" s="1917" t="s">
        <v>1496</v>
      </c>
      <c r="C33" s="1917" t="s">
        <v>1858</v>
      </c>
      <c r="D33" s="1941">
        <v>110.60000000000001</v>
      </c>
      <c r="E33" s="1941">
        <v>97.550000000000011</v>
      </c>
      <c r="F33" s="1941">
        <v>1094.5</v>
      </c>
      <c r="I33" s="2002">
        <f t="shared" si="0"/>
        <v>1094.5</v>
      </c>
    </row>
    <row r="34" spans="1:11" x14ac:dyDescent="0.25">
      <c r="B34" s="1917" t="s">
        <v>224</v>
      </c>
      <c r="C34" s="1917" t="s">
        <v>1859</v>
      </c>
      <c r="D34" s="1941">
        <v>107.77000000000001</v>
      </c>
      <c r="E34" s="1941">
        <v>99.550000000000011</v>
      </c>
      <c r="F34" s="1941">
        <v>957.5</v>
      </c>
      <c r="I34" s="2002">
        <f t="shared" si="0"/>
        <v>957.5</v>
      </c>
    </row>
    <row r="35" spans="1:11" x14ac:dyDescent="0.25">
      <c r="B35" s="1917" t="s">
        <v>691</v>
      </c>
      <c r="C35" s="1917" t="s">
        <v>1860</v>
      </c>
      <c r="D35" s="1941">
        <v>115.73</v>
      </c>
      <c r="E35" s="1941">
        <v>103.82</v>
      </c>
      <c r="F35" s="1941">
        <v>994</v>
      </c>
      <c r="I35" s="2002">
        <f t="shared" si="0"/>
        <v>994</v>
      </c>
    </row>
    <row r="36" spans="1:11" x14ac:dyDescent="0.25">
      <c r="B36" s="1917" t="s">
        <v>390</v>
      </c>
      <c r="C36" s="1917" t="s">
        <v>1861</v>
      </c>
      <c r="D36" s="1941">
        <v>104.96000000000001</v>
      </c>
      <c r="E36" s="1941">
        <v>93.850000000000009</v>
      </c>
      <c r="F36" s="1941">
        <v>1102.5</v>
      </c>
      <c r="I36" s="2002">
        <f t="shared" si="0"/>
        <v>1102.5</v>
      </c>
    </row>
    <row r="37" spans="1:11" x14ac:dyDescent="0.25">
      <c r="B37" s="1917" t="s">
        <v>709</v>
      </c>
      <c r="C37" s="1917" t="s">
        <v>1862</v>
      </c>
      <c r="D37" s="1941">
        <v>101.89</v>
      </c>
      <c r="E37" s="1941">
        <v>95.36</v>
      </c>
      <c r="F37" s="1941">
        <v>979.5</v>
      </c>
      <c r="I37" s="2002">
        <f t="shared" si="0"/>
        <v>979.5</v>
      </c>
      <c r="K37" s="1943"/>
    </row>
    <row r="38" spans="1:11" x14ac:dyDescent="0.25">
      <c r="B38" s="1917" t="s">
        <v>757</v>
      </c>
      <c r="C38" s="1917" t="s">
        <v>1863</v>
      </c>
      <c r="D38" s="1941">
        <v>100.55000000000001</v>
      </c>
      <c r="E38" s="1941">
        <v>95.93</v>
      </c>
      <c r="F38" s="1941">
        <v>961</v>
      </c>
      <c r="I38" s="2002">
        <f t="shared" si="0"/>
        <v>961</v>
      </c>
    </row>
    <row r="39" spans="1:11" x14ac:dyDescent="0.25">
      <c r="B39" s="1917" t="s">
        <v>225</v>
      </c>
      <c r="C39" s="1917" t="s">
        <v>1864</v>
      </c>
      <c r="D39" s="1941">
        <v>113.51</v>
      </c>
      <c r="E39" s="1941">
        <v>99.820000000000007</v>
      </c>
      <c r="F39" s="1941">
        <v>968</v>
      </c>
      <c r="I39" s="2002">
        <f t="shared" si="0"/>
        <v>968</v>
      </c>
    </row>
    <row r="40" spans="1:11" x14ac:dyDescent="0.25">
      <c r="A40" s="842"/>
      <c r="B40" s="1944" t="s">
        <v>2859</v>
      </c>
      <c r="C40" s="842"/>
      <c r="D40" s="842"/>
      <c r="E40" s="842"/>
      <c r="F40" s="842"/>
    </row>
    <row r="41" spans="1:11" x14ac:dyDescent="0.25">
      <c r="B41" s="2409" t="s">
        <v>1505</v>
      </c>
      <c r="C41" s="2413" t="s">
        <v>1506</v>
      </c>
      <c r="D41" s="1945"/>
      <c r="E41" s="1945"/>
      <c r="F41" s="1945"/>
    </row>
    <row r="42" spans="1:11" x14ac:dyDescent="0.25">
      <c r="B42" s="1946"/>
      <c r="C42" s="1946"/>
      <c r="D42" s="1947"/>
      <c r="E42" s="1947"/>
      <c r="F42" s="1947"/>
    </row>
    <row r="43" spans="1:11" x14ac:dyDescent="0.25">
      <c r="B43" s="1946"/>
      <c r="C43" s="1946"/>
      <c r="D43" s="1947"/>
      <c r="E43" s="1948"/>
      <c r="F43" s="838"/>
    </row>
    <row r="44" spans="1:11" ht="33.75" customHeight="1" x14ac:dyDescent="0.25">
      <c r="B44" s="3752" t="s">
        <v>2994</v>
      </c>
      <c r="C44" s="3753"/>
      <c r="D44" s="3753"/>
      <c r="E44" s="3753"/>
      <c r="F44" s="3754"/>
    </row>
    <row r="45" spans="1:11" x14ac:dyDescent="0.25">
      <c r="B45" s="3764"/>
      <c r="C45" s="3764"/>
      <c r="D45" s="3764"/>
      <c r="E45" s="3764"/>
      <c r="F45" s="3764"/>
    </row>
    <row r="46" spans="1:11" x14ac:dyDescent="0.25">
      <c r="B46" s="3765" t="s">
        <v>217</v>
      </c>
      <c r="C46" s="3765"/>
      <c r="D46" s="3766" t="s">
        <v>1865</v>
      </c>
      <c r="E46" s="3766"/>
      <c r="F46" s="2414" t="s">
        <v>1834</v>
      </c>
    </row>
    <row r="47" spans="1:11" x14ac:dyDescent="0.25">
      <c r="B47" s="3767" t="s">
        <v>606</v>
      </c>
      <c r="C47" s="3767"/>
      <c r="D47" s="3768" t="s">
        <v>1113</v>
      </c>
      <c r="E47" s="3768"/>
      <c r="F47" s="2415">
        <v>62</v>
      </c>
    </row>
    <row r="48" spans="1:11" x14ac:dyDescent="0.25">
      <c r="B48" s="3762" t="s">
        <v>224</v>
      </c>
      <c r="C48" s="3762"/>
      <c r="D48" s="3763" t="s">
        <v>1859</v>
      </c>
      <c r="E48" s="3763"/>
      <c r="F48" s="2415">
        <v>15</v>
      </c>
    </row>
    <row r="49" spans="2:6" x14ac:dyDescent="0.25">
      <c r="B49" s="3762" t="s">
        <v>225</v>
      </c>
      <c r="C49" s="3762"/>
      <c r="D49" s="3763" t="s">
        <v>1866</v>
      </c>
      <c r="E49" s="3763"/>
      <c r="F49" s="2416">
        <v>64.2</v>
      </c>
    </row>
    <row r="50" spans="2:6" x14ac:dyDescent="0.25">
      <c r="B50" s="1949" t="s">
        <v>2860</v>
      </c>
      <c r="C50" s="1950"/>
      <c r="D50" s="1951"/>
      <c r="E50" s="1951"/>
      <c r="F50" s="1952"/>
    </row>
    <row r="51" spans="2:6" x14ac:dyDescent="0.25">
      <c r="B51" s="1953" t="s">
        <v>2861</v>
      </c>
      <c r="C51" s="1954"/>
      <c r="D51" s="1954"/>
      <c r="E51" s="1954"/>
      <c r="F51" s="1955"/>
    </row>
  </sheetData>
  <mergeCells count="15">
    <mergeCell ref="B49:C49"/>
    <mergeCell ref="D49:E49"/>
    <mergeCell ref="B45:F45"/>
    <mergeCell ref="B46:C46"/>
    <mergeCell ref="D46:E46"/>
    <mergeCell ref="B47:C47"/>
    <mergeCell ref="D47:E47"/>
    <mergeCell ref="B48:C48"/>
    <mergeCell ref="D48:E48"/>
    <mergeCell ref="B44:F44"/>
    <mergeCell ref="B1:F1"/>
    <mergeCell ref="B2:F2"/>
    <mergeCell ref="B3:B4"/>
    <mergeCell ref="C3:C4"/>
    <mergeCell ref="D4:E4"/>
  </mergeCells>
  <pageMargins left="0.7" right="0.7" top="0.75" bottom="0.75" header="0.3" footer="0.3"/>
  <pageSetup paperSize="9" scale="85" orientation="portrait" r:id="rId1"/>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FAA02F-F532-4238-AEEA-56AB8C5F869D}">
  <sheetPr>
    <tabColor theme="0"/>
    <pageSetUpPr fitToPage="1"/>
  </sheetPr>
  <dimension ref="B1:K47"/>
  <sheetViews>
    <sheetView showGridLines="0" view="pageBreakPreview" topLeftCell="A27" zoomScale="85" zoomScaleNormal="100" zoomScaleSheetLayoutView="85" workbookViewId="0">
      <selection activeCell="B81" sqref="B81"/>
    </sheetView>
  </sheetViews>
  <sheetFormatPr defaultColWidth="9.140625" defaultRowHeight="15" x14ac:dyDescent="0.25"/>
  <cols>
    <col min="1" max="1" width="1.7109375" style="17" customWidth="1"/>
    <col min="2" max="2" width="37.5703125" style="17" customWidth="1"/>
    <col min="3" max="3" width="17.5703125" style="17" customWidth="1"/>
    <col min="4" max="9" width="13.7109375" style="17" customWidth="1"/>
    <col min="10" max="10" width="19.140625" style="17" customWidth="1"/>
    <col min="11" max="11" width="11.28515625" style="17" customWidth="1"/>
    <col min="12" max="16384" width="9.140625" style="17"/>
  </cols>
  <sheetData>
    <row r="1" spans="2:10" ht="18.75" x14ac:dyDescent="0.25">
      <c r="B1" s="3769" t="s">
        <v>2995</v>
      </c>
      <c r="C1" s="3770"/>
      <c r="D1" s="3770"/>
      <c r="E1" s="3770"/>
      <c r="F1" s="3770"/>
      <c r="G1" s="3770"/>
      <c r="H1" s="3770"/>
      <c r="I1" s="3770"/>
      <c r="J1" s="3771"/>
    </row>
    <row r="2" spans="2:10" x14ac:dyDescent="0.25">
      <c r="B2" s="1956"/>
      <c r="C2" s="1956"/>
      <c r="D2" s="1956"/>
      <c r="E2" s="1956"/>
      <c r="F2" s="1956"/>
      <c r="G2" s="1956"/>
      <c r="H2" s="1956"/>
      <c r="I2" s="1956"/>
      <c r="J2" s="1956"/>
    </row>
    <row r="3" spans="2:10" ht="19.5" customHeight="1" x14ac:dyDescent="0.25">
      <c r="B3" s="3772" t="s">
        <v>2269</v>
      </c>
      <c r="C3" s="3773"/>
      <c r="D3" s="3773"/>
      <c r="E3" s="3773"/>
      <c r="F3" s="3773"/>
      <c r="G3" s="3773"/>
      <c r="H3" s="3773"/>
      <c r="I3" s="3773"/>
      <c r="J3" s="3774"/>
    </row>
    <row r="4" spans="2:10" ht="16.5" customHeight="1" x14ac:dyDescent="0.25">
      <c r="B4" s="3775"/>
      <c r="C4" s="3775"/>
      <c r="D4" s="3775"/>
      <c r="E4" s="3775"/>
      <c r="F4" s="3775"/>
      <c r="G4" s="3775"/>
      <c r="H4" s="3775"/>
      <c r="I4" s="3775"/>
      <c r="J4" s="3775"/>
    </row>
    <row r="5" spans="2:10" x14ac:dyDescent="0.25">
      <c r="B5" s="3776" t="s">
        <v>4</v>
      </c>
      <c r="C5" s="3776"/>
      <c r="D5" s="3776" t="s">
        <v>1777</v>
      </c>
      <c r="E5" s="3776"/>
      <c r="F5" s="3776"/>
      <c r="G5" s="3776" t="s">
        <v>2270</v>
      </c>
      <c r="H5" s="3776"/>
      <c r="I5" s="3776"/>
      <c r="J5" s="3776"/>
    </row>
    <row r="6" spans="2:10" ht="75" x14ac:dyDescent="0.25">
      <c r="B6" s="3776"/>
      <c r="C6" s="3776"/>
      <c r="D6" s="2420" t="s">
        <v>1868</v>
      </c>
      <c r="E6" s="2420" t="s">
        <v>1869</v>
      </c>
      <c r="F6" s="2420" t="s">
        <v>1870</v>
      </c>
      <c r="G6" s="2420" t="s">
        <v>2271</v>
      </c>
      <c r="H6" s="2420" t="s">
        <v>1782</v>
      </c>
      <c r="I6" s="2420" t="s">
        <v>1871</v>
      </c>
      <c r="J6" s="2420" t="s">
        <v>2272</v>
      </c>
    </row>
    <row r="7" spans="2:10" ht="60" x14ac:dyDescent="0.25">
      <c r="B7" s="3777" t="s">
        <v>2862</v>
      </c>
      <c r="C7" s="3777"/>
      <c r="D7" s="1957" t="s">
        <v>2326</v>
      </c>
      <c r="E7" s="1957" t="s">
        <v>1872</v>
      </c>
      <c r="F7" s="1957" t="s">
        <v>18</v>
      </c>
      <c r="G7" s="1957" t="s">
        <v>2327</v>
      </c>
      <c r="H7" s="1957" t="s">
        <v>18</v>
      </c>
      <c r="I7" s="1957" t="s">
        <v>18</v>
      </c>
      <c r="J7" s="1957" t="s">
        <v>18</v>
      </c>
    </row>
    <row r="8" spans="2:10" ht="75" x14ac:dyDescent="0.25">
      <c r="B8" s="3778" t="s">
        <v>1151</v>
      </c>
      <c r="C8" s="3778"/>
      <c r="D8" s="1958">
        <v>2.5000000000000001E-2</v>
      </c>
      <c r="E8" s="1957" t="s">
        <v>2863</v>
      </c>
      <c r="F8" s="1959" t="s">
        <v>1873</v>
      </c>
      <c r="G8" s="1959" t="s">
        <v>1874</v>
      </c>
      <c r="H8" s="1959" t="s">
        <v>2864</v>
      </c>
      <c r="I8" s="1959" t="s">
        <v>1873</v>
      </c>
      <c r="J8" s="1959" t="s">
        <v>2328</v>
      </c>
    </row>
    <row r="9" spans="2:10" ht="75" x14ac:dyDescent="0.25">
      <c r="B9" s="3778" t="s">
        <v>2865</v>
      </c>
      <c r="C9" s="3778"/>
      <c r="D9" s="1958">
        <v>2.5000000000000001E-2</v>
      </c>
      <c r="E9" s="1957" t="s">
        <v>2866</v>
      </c>
      <c r="F9" s="1959" t="s">
        <v>1873</v>
      </c>
      <c r="G9" s="1959" t="s">
        <v>1875</v>
      </c>
      <c r="H9" s="1959" t="s">
        <v>2864</v>
      </c>
      <c r="I9" s="1959" t="s">
        <v>1873</v>
      </c>
      <c r="J9" s="1959" t="s">
        <v>2328</v>
      </c>
    </row>
    <row r="10" spans="2:10" ht="45" x14ac:dyDescent="0.25">
      <c r="B10" s="3778" t="s">
        <v>1790</v>
      </c>
      <c r="C10" s="3778"/>
      <c r="D10" s="1958">
        <v>2.5000000000000001E-2</v>
      </c>
      <c r="E10" s="1957" t="s">
        <v>2867</v>
      </c>
      <c r="F10" s="1959" t="s">
        <v>1876</v>
      </c>
      <c r="G10" s="1959" t="s">
        <v>1877</v>
      </c>
      <c r="H10" s="1957" t="s">
        <v>18</v>
      </c>
      <c r="I10" s="1959" t="s">
        <v>1876</v>
      </c>
      <c r="J10" s="1959" t="s">
        <v>2329</v>
      </c>
    </row>
    <row r="11" spans="2:10" ht="45" x14ac:dyDescent="0.25">
      <c r="B11" s="3778" t="s">
        <v>2868</v>
      </c>
      <c r="C11" s="3778"/>
      <c r="D11" s="1958">
        <v>2.5000000000000001E-2</v>
      </c>
      <c r="E11" s="1957" t="s">
        <v>2869</v>
      </c>
      <c r="F11" s="1959" t="s">
        <v>1876</v>
      </c>
      <c r="G11" s="1959" t="s">
        <v>2330</v>
      </c>
      <c r="H11" s="1957" t="s">
        <v>18</v>
      </c>
      <c r="I11" s="1959" t="s">
        <v>1876</v>
      </c>
      <c r="J11" s="1959" t="s">
        <v>2329</v>
      </c>
    </row>
    <row r="12" spans="2:10" x14ac:dyDescent="0.25">
      <c r="B12" s="3759" t="s">
        <v>2870</v>
      </c>
      <c r="C12" s="3759"/>
      <c r="D12" s="1958">
        <v>0.05</v>
      </c>
      <c r="E12" s="1960">
        <v>0.11</v>
      </c>
      <c r="F12" s="1957" t="s">
        <v>18</v>
      </c>
      <c r="G12" s="1960">
        <v>0.11</v>
      </c>
      <c r="H12" s="1959" t="s">
        <v>18</v>
      </c>
      <c r="I12" s="1959" t="s">
        <v>18</v>
      </c>
      <c r="J12" s="1959" t="s">
        <v>18</v>
      </c>
    </row>
    <row r="13" spans="2:10" x14ac:dyDescent="0.25">
      <c r="B13" s="3778" t="s">
        <v>1878</v>
      </c>
      <c r="C13" s="3778"/>
      <c r="D13" s="1958">
        <v>2.5000000000000001E-2</v>
      </c>
      <c r="E13" s="1959" t="s">
        <v>1879</v>
      </c>
      <c r="F13" s="1957" t="s">
        <v>18</v>
      </c>
      <c r="G13" s="1959" t="s">
        <v>1879</v>
      </c>
      <c r="H13" s="1959" t="s">
        <v>18</v>
      </c>
      <c r="I13" s="1959" t="s">
        <v>18</v>
      </c>
      <c r="J13" s="1959" t="s">
        <v>18</v>
      </c>
    </row>
    <row r="14" spans="2:10" x14ac:dyDescent="0.25">
      <c r="B14" s="3778" t="s">
        <v>2871</v>
      </c>
      <c r="C14" s="3778"/>
      <c r="D14" s="1958">
        <v>0.05</v>
      </c>
      <c r="E14" s="1959" t="s">
        <v>1879</v>
      </c>
      <c r="F14" s="1957" t="s">
        <v>18</v>
      </c>
      <c r="G14" s="1959" t="s">
        <v>1879</v>
      </c>
      <c r="H14" s="1959" t="s">
        <v>18</v>
      </c>
      <c r="I14" s="1959" t="s">
        <v>18</v>
      </c>
      <c r="J14" s="1959" t="s">
        <v>18</v>
      </c>
    </row>
    <row r="15" spans="2:10" x14ac:dyDescent="0.25">
      <c r="B15" s="3778" t="s">
        <v>2872</v>
      </c>
      <c r="C15" s="3778"/>
      <c r="D15" s="1958">
        <v>0.05</v>
      </c>
      <c r="E15" s="1958">
        <v>0.14000000000000001</v>
      </c>
      <c r="F15" s="1957" t="s">
        <v>18</v>
      </c>
      <c r="G15" s="1958">
        <v>0.14000000000000001</v>
      </c>
      <c r="H15" s="1959" t="s">
        <v>18</v>
      </c>
      <c r="I15" s="1959" t="s">
        <v>18</v>
      </c>
      <c r="J15" s="1959" t="s">
        <v>18</v>
      </c>
    </row>
    <row r="17" spans="2:11" x14ac:dyDescent="0.25">
      <c r="B17" s="3772" t="s">
        <v>2273</v>
      </c>
      <c r="C17" s="3773"/>
      <c r="D17" s="3773"/>
      <c r="E17" s="3773"/>
      <c r="F17" s="3773"/>
      <c r="G17" s="3773"/>
      <c r="H17" s="3773"/>
      <c r="I17" s="3773"/>
      <c r="J17" s="3774"/>
    </row>
    <row r="18" spans="2:11" x14ac:dyDescent="0.25">
      <c r="B18" s="3779"/>
      <c r="C18" s="3779"/>
      <c r="D18" s="3779"/>
      <c r="E18" s="3779"/>
      <c r="F18" s="3779"/>
      <c r="G18" s="3775"/>
      <c r="H18" s="3775"/>
      <c r="I18" s="3775"/>
      <c r="J18" s="3775"/>
    </row>
    <row r="19" spans="2:11" ht="13.5" customHeight="1" x14ac:dyDescent="0.25">
      <c r="B19" s="3776" t="s">
        <v>4</v>
      </c>
      <c r="C19" s="3776"/>
      <c r="D19" s="3714" t="s">
        <v>1867</v>
      </c>
      <c r="E19" s="3716"/>
      <c r="F19" s="3780" t="s">
        <v>1880</v>
      </c>
      <c r="G19" s="1961"/>
      <c r="H19" s="1922"/>
      <c r="I19" s="1922"/>
      <c r="J19" s="1922"/>
    </row>
    <row r="20" spans="2:11" ht="51" customHeight="1" x14ac:dyDescent="0.25">
      <c r="B20" s="3776"/>
      <c r="C20" s="3776"/>
      <c r="D20" s="2421" t="s">
        <v>1881</v>
      </c>
      <c r="E20" s="2421" t="s">
        <v>1882</v>
      </c>
      <c r="F20" s="3781"/>
      <c r="G20" s="1961"/>
      <c r="H20" s="1922"/>
      <c r="I20" s="839"/>
      <c r="J20" s="839"/>
      <c r="K20" s="219"/>
    </row>
    <row r="21" spans="2:11" x14ac:dyDescent="0.25">
      <c r="B21" s="3777" t="s">
        <v>112</v>
      </c>
      <c r="C21" s="1916" t="s">
        <v>1883</v>
      </c>
      <c r="D21" s="1962" t="s">
        <v>1879</v>
      </c>
      <c r="E21" s="1963">
        <v>0.05</v>
      </c>
      <c r="F21" s="1963">
        <v>0.05</v>
      </c>
      <c r="G21" s="1964"/>
      <c r="H21" s="1965"/>
      <c r="I21" s="1965"/>
      <c r="J21" s="1965"/>
    </row>
    <row r="22" spans="2:11" x14ac:dyDescent="0.25">
      <c r="B22" s="3778"/>
      <c r="C22" s="1919" t="s">
        <v>1884</v>
      </c>
      <c r="D22" s="1963">
        <v>0.05</v>
      </c>
      <c r="E22" s="1963">
        <v>0.18</v>
      </c>
      <c r="F22" s="1963">
        <v>0.18</v>
      </c>
      <c r="G22" s="1964"/>
      <c r="H22" s="1965"/>
      <c r="I22" s="1965"/>
      <c r="J22" s="1965"/>
    </row>
    <row r="23" spans="2:11" x14ac:dyDescent="0.25">
      <c r="B23" s="3782" t="s">
        <v>1153</v>
      </c>
      <c r="C23" s="1919" t="s">
        <v>1885</v>
      </c>
      <c r="D23" s="1966">
        <v>0.05</v>
      </c>
      <c r="E23" s="1963">
        <v>0.05</v>
      </c>
      <c r="F23" s="1963">
        <v>0.05</v>
      </c>
      <c r="G23" s="1964"/>
      <c r="H23" s="1965"/>
      <c r="I23" s="1965"/>
      <c r="J23" s="1965"/>
    </row>
    <row r="24" spans="2:11" x14ac:dyDescent="0.25">
      <c r="B24" s="3783"/>
      <c r="C24" s="1919" t="s">
        <v>1886</v>
      </c>
      <c r="D24" s="1963">
        <v>0.05</v>
      </c>
      <c r="E24" s="1963">
        <v>0.18</v>
      </c>
      <c r="F24" s="1963">
        <v>0.18</v>
      </c>
      <c r="G24" s="1964"/>
      <c r="H24" s="1965"/>
      <c r="I24" s="1965"/>
      <c r="J24" s="1965"/>
    </row>
    <row r="25" spans="2:11" x14ac:dyDescent="0.25">
      <c r="B25" s="3778" t="s">
        <v>1046</v>
      </c>
      <c r="C25" s="1919" t="s">
        <v>986</v>
      </c>
      <c r="D25" s="1963">
        <v>2.5000000000000001E-2</v>
      </c>
      <c r="E25" s="1963">
        <v>0.18</v>
      </c>
      <c r="F25" s="1963">
        <v>0.18</v>
      </c>
      <c r="G25" s="1964"/>
      <c r="H25" s="1965"/>
      <c r="I25" s="1965"/>
      <c r="J25" s="1965"/>
    </row>
    <row r="26" spans="2:11" x14ac:dyDescent="0.25">
      <c r="B26" s="3778"/>
      <c r="C26" s="1919" t="s">
        <v>1887</v>
      </c>
      <c r="D26" s="1963">
        <v>2.5000000000000001E-2</v>
      </c>
      <c r="E26" s="1963">
        <v>0.18</v>
      </c>
      <c r="F26" s="1963">
        <v>0.18</v>
      </c>
      <c r="G26" s="1964"/>
      <c r="H26" s="1965"/>
      <c r="I26" s="1965"/>
      <c r="J26" s="1965"/>
    </row>
    <row r="27" spans="2:11" x14ac:dyDescent="0.25">
      <c r="B27" s="3778" t="s">
        <v>1888</v>
      </c>
      <c r="C27" s="1919" t="s">
        <v>1889</v>
      </c>
      <c r="D27" s="1962" t="s">
        <v>1879</v>
      </c>
      <c r="E27" s="1963">
        <v>0.05</v>
      </c>
      <c r="F27" s="1963">
        <v>0.05</v>
      </c>
      <c r="G27" s="1964"/>
      <c r="H27" s="1965"/>
      <c r="I27" s="1965"/>
      <c r="J27" s="1965"/>
    </row>
    <row r="28" spans="2:11" x14ac:dyDescent="0.25">
      <c r="B28" s="3778"/>
      <c r="C28" s="1919" t="s">
        <v>1884</v>
      </c>
      <c r="D28" s="1963">
        <v>2.5000000000000001E-2</v>
      </c>
      <c r="E28" s="1963">
        <v>0.18</v>
      </c>
      <c r="F28" s="1963">
        <v>0.18</v>
      </c>
      <c r="G28" s="1964"/>
      <c r="H28" s="1965"/>
      <c r="I28" s="1965"/>
      <c r="J28" s="1965"/>
    </row>
    <row r="29" spans="2:11" x14ac:dyDescent="0.25">
      <c r="B29" s="3778" t="s">
        <v>1890</v>
      </c>
      <c r="C29" s="3778"/>
      <c r="D29" s="1963">
        <v>0.05</v>
      </c>
      <c r="E29" s="1963">
        <v>0.18</v>
      </c>
      <c r="F29" s="1963">
        <v>0.18</v>
      </c>
      <c r="G29" s="1964"/>
      <c r="H29" s="1965"/>
      <c r="I29" s="1965"/>
      <c r="J29" s="1965"/>
    </row>
    <row r="30" spans="2:11" x14ac:dyDescent="0.25">
      <c r="B30" s="3778" t="s">
        <v>1891</v>
      </c>
      <c r="C30" s="1919" t="s">
        <v>986</v>
      </c>
      <c r="D30" s="1963">
        <v>2.5000000000000001E-2</v>
      </c>
      <c r="E30" s="1963">
        <v>0.18</v>
      </c>
      <c r="F30" s="1963">
        <v>0.18</v>
      </c>
      <c r="G30" s="1964"/>
      <c r="H30" s="1965"/>
      <c r="I30" s="1965"/>
      <c r="J30" s="1965"/>
    </row>
    <row r="31" spans="2:11" x14ac:dyDescent="0.25">
      <c r="B31" s="3778"/>
      <c r="C31" s="1919" t="s">
        <v>1887</v>
      </c>
      <c r="D31" s="1963">
        <v>2.5000000000000001E-2</v>
      </c>
      <c r="E31" s="1963">
        <v>0.18</v>
      </c>
      <c r="F31" s="1963">
        <v>0.18</v>
      </c>
      <c r="G31" s="1964"/>
      <c r="H31" s="1965"/>
      <c r="I31" s="1965"/>
      <c r="J31" s="1965"/>
    </row>
    <row r="32" spans="2:11" x14ac:dyDescent="0.25">
      <c r="B32" s="3778" t="s">
        <v>1892</v>
      </c>
      <c r="C32" s="3778"/>
      <c r="D32" s="1963">
        <v>0.05</v>
      </c>
      <c r="E32" s="1963">
        <v>0.18</v>
      </c>
      <c r="F32" s="1963">
        <v>0.18</v>
      </c>
      <c r="G32" s="1964"/>
      <c r="H32" s="1965"/>
      <c r="I32" s="1965"/>
      <c r="J32" s="1965"/>
    </row>
    <row r="33" spans="2:11" x14ac:dyDescent="0.25">
      <c r="B33" s="3778" t="s">
        <v>1893</v>
      </c>
      <c r="C33" s="1919" t="s">
        <v>986</v>
      </c>
      <c r="D33" s="1963">
        <v>0.05</v>
      </c>
      <c r="E33" s="1963">
        <v>0.18</v>
      </c>
      <c r="F33" s="1963">
        <v>0.18</v>
      </c>
      <c r="G33" s="1964"/>
      <c r="H33" s="1965"/>
      <c r="I33" s="1965"/>
      <c r="J33" s="1965"/>
    </row>
    <row r="34" spans="2:11" x14ac:dyDescent="0.25">
      <c r="B34" s="3778"/>
      <c r="C34" s="1919" t="s">
        <v>1887</v>
      </c>
      <c r="D34" s="1963">
        <v>0.05</v>
      </c>
      <c r="E34" s="1963">
        <v>0.18</v>
      </c>
      <c r="F34" s="1963">
        <v>0.18</v>
      </c>
      <c r="G34" s="1964"/>
      <c r="H34" s="1965"/>
      <c r="I34" s="1965"/>
      <c r="J34" s="1965"/>
    </row>
    <row r="35" spans="2:11" x14ac:dyDescent="0.25">
      <c r="B35" s="3778" t="s">
        <v>1894</v>
      </c>
      <c r="C35" s="3778"/>
      <c r="D35" s="1963">
        <v>0.05</v>
      </c>
      <c r="E35" s="1963">
        <v>0.18</v>
      </c>
      <c r="F35" s="1963">
        <v>0.18</v>
      </c>
      <c r="G35" s="1964"/>
      <c r="H35" s="1965"/>
      <c r="I35" s="1965"/>
      <c r="J35" s="1965"/>
    </row>
    <row r="36" spans="2:11" x14ac:dyDescent="0.25">
      <c r="B36" s="3778" t="s">
        <v>1801</v>
      </c>
      <c r="C36" s="1919" t="s">
        <v>2873</v>
      </c>
      <c r="D36" s="1963">
        <v>0.1</v>
      </c>
      <c r="E36" s="1963">
        <v>0.18</v>
      </c>
      <c r="F36" s="1963">
        <v>0.18</v>
      </c>
      <c r="G36" s="1964"/>
      <c r="H36" s="1965"/>
      <c r="I36" s="1965"/>
      <c r="J36" s="1965"/>
    </row>
    <row r="37" spans="2:11" x14ac:dyDescent="0.25">
      <c r="B37" s="3778"/>
      <c r="C37" s="1919" t="s">
        <v>2874</v>
      </c>
      <c r="D37" s="1963">
        <v>7.4999999999999997E-2</v>
      </c>
      <c r="E37" s="1963">
        <v>0.18</v>
      </c>
      <c r="F37" s="1963">
        <v>0.18</v>
      </c>
      <c r="G37" s="1964"/>
      <c r="H37" s="1965"/>
      <c r="I37" s="1965"/>
      <c r="J37" s="1965"/>
    </row>
    <row r="38" spans="2:11" x14ac:dyDescent="0.25">
      <c r="B38" s="3778" t="s">
        <v>1895</v>
      </c>
      <c r="C38" s="3778"/>
      <c r="D38" s="1963">
        <v>0.05</v>
      </c>
      <c r="E38" s="1963">
        <v>0.18</v>
      </c>
      <c r="F38" s="1963">
        <v>0.18</v>
      </c>
      <c r="G38" s="1964"/>
      <c r="H38" s="1965"/>
      <c r="I38" s="1965"/>
      <c r="J38" s="1965"/>
    </row>
    <row r="39" spans="2:11" x14ac:dyDescent="0.25">
      <c r="B39" s="3778" t="s">
        <v>1896</v>
      </c>
      <c r="C39" s="3778"/>
      <c r="D39" s="1963">
        <v>0.05</v>
      </c>
      <c r="E39" s="1963">
        <v>0.18</v>
      </c>
      <c r="F39" s="1963">
        <v>0.18</v>
      </c>
      <c r="G39" s="1964"/>
      <c r="H39" s="1965"/>
      <c r="I39" s="1965"/>
      <c r="J39" s="1965"/>
    </row>
    <row r="40" spans="2:11" x14ac:dyDescent="0.25">
      <c r="B40" s="3778" t="s">
        <v>1897</v>
      </c>
      <c r="C40" s="3778"/>
      <c r="D40" s="1963">
        <v>0.05</v>
      </c>
      <c r="E40" s="1963">
        <v>0.18</v>
      </c>
      <c r="F40" s="1963">
        <v>0.18</v>
      </c>
      <c r="G40" s="1964"/>
      <c r="H40" s="1965"/>
      <c r="I40" s="1965"/>
      <c r="J40" s="1965"/>
    </row>
    <row r="41" spans="2:11" x14ac:dyDescent="0.25">
      <c r="B41" s="1967" t="s">
        <v>2875</v>
      </c>
      <c r="C41" s="1922"/>
      <c r="D41" s="1968"/>
      <c r="E41" s="1968"/>
      <c r="F41" s="1968"/>
      <c r="G41" s="1965"/>
      <c r="H41" s="1965"/>
      <c r="I41" s="1965"/>
      <c r="J41" s="1965"/>
    </row>
    <row r="42" spans="2:11" x14ac:dyDescent="0.25">
      <c r="B42" s="1969" t="s">
        <v>1898</v>
      </c>
      <c r="C42" s="1970"/>
      <c r="D42" s="1970"/>
      <c r="E42" s="1970"/>
      <c r="F42" s="1970"/>
      <c r="G42" s="1970"/>
      <c r="H42" s="1970"/>
      <c r="I42" s="1970"/>
      <c r="J42" s="1970"/>
    </row>
    <row r="43" spans="2:11" ht="27.75" customHeight="1" x14ac:dyDescent="0.25">
      <c r="B43" s="3785" t="s">
        <v>2876</v>
      </c>
      <c r="C43" s="3785"/>
      <c r="D43" s="3785"/>
      <c r="E43" s="3785"/>
      <c r="F43" s="3785"/>
      <c r="G43" s="3785"/>
      <c r="H43" s="3785"/>
      <c r="I43" s="3785"/>
      <c r="J43" s="3785"/>
    </row>
    <row r="44" spans="2:11" ht="31.5" customHeight="1" x14ac:dyDescent="0.25">
      <c r="B44" s="3784" t="s">
        <v>1899</v>
      </c>
      <c r="C44" s="3784"/>
      <c r="D44" s="3784"/>
      <c r="E44" s="3784"/>
      <c r="F44" s="3784"/>
      <c r="G44" s="3784"/>
      <c r="H44" s="3784"/>
      <c r="I44" s="3784"/>
      <c r="J44" s="3784"/>
    </row>
    <row r="45" spans="2:11" ht="24.75" customHeight="1" x14ac:dyDescent="0.25">
      <c r="B45" s="3784" t="s">
        <v>2877</v>
      </c>
      <c r="C45" s="3784"/>
      <c r="D45" s="3784"/>
      <c r="E45" s="3784"/>
      <c r="F45" s="3784"/>
      <c r="G45" s="3784"/>
      <c r="H45" s="3784"/>
      <c r="I45" s="3784"/>
      <c r="J45" s="3784"/>
    </row>
    <row r="46" spans="2:11" ht="15" customHeight="1" x14ac:dyDescent="0.25">
      <c r="B46" s="3784" t="s">
        <v>1900</v>
      </c>
      <c r="C46" s="3784"/>
      <c r="D46" s="3784"/>
      <c r="E46" s="3784"/>
      <c r="F46" s="3784"/>
      <c r="G46" s="3784"/>
      <c r="H46" s="3784"/>
      <c r="I46" s="3784"/>
      <c r="J46" s="3784"/>
      <c r="K46" s="1971"/>
    </row>
    <row r="47" spans="2:11" ht="20.25" customHeight="1" x14ac:dyDescent="0.25">
      <c r="B47" s="3784" t="s">
        <v>1901</v>
      </c>
      <c r="C47" s="3784"/>
      <c r="D47" s="3784"/>
      <c r="E47" s="3784"/>
      <c r="F47" s="3784"/>
      <c r="G47" s="3784"/>
      <c r="H47" s="3784"/>
      <c r="I47" s="3784"/>
      <c r="J47" s="3784"/>
      <c r="K47" s="1971"/>
    </row>
  </sheetData>
  <mergeCells count="38">
    <mergeCell ref="B47:J47"/>
    <mergeCell ref="B32:C32"/>
    <mergeCell ref="B33:B34"/>
    <mergeCell ref="B35:C35"/>
    <mergeCell ref="B36:B37"/>
    <mergeCell ref="B38:C38"/>
    <mergeCell ref="B39:C39"/>
    <mergeCell ref="B40:C40"/>
    <mergeCell ref="B43:J43"/>
    <mergeCell ref="B44:J44"/>
    <mergeCell ref="B45:J45"/>
    <mergeCell ref="B46:J46"/>
    <mergeCell ref="B30:B31"/>
    <mergeCell ref="B13:C13"/>
    <mergeCell ref="B14:C14"/>
    <mergeCell ref="B15:C15"/>
    <mergeCell ref="B17:J17"/>
    <mergeCell ref="B18:J18"/>
    <mergeCell ref="B19:C20"/>
    <mergeCell ref="D19:E19"/>
    <mergeCell ref="F19:F20"/>
    <mergeCell ref="B21:B22"/>
    <mergeCell ref="B23:B24"/>
    <mergeCell ref="B25:B26"/>
    <mergeCell ref="B27:B28"/>
    <mergeCell ref="B29:C29"/>
    <mergeCell ref="B12:C12"/>
    <mergeCell ref="B1:J1"/>
    <mergeCell ref="B3:J3"/>
    <mergeCell ref="B4:J4"/>
    <mergeCell ref="B5:C6"/>
    <mergeCell ref="D5:F5"/>
    <mergeCell ref="G5:J5"/>
    <mergeCell ref="B7:C7"/>
    <mergeCell ref="B8:C8"/>
    <mergeCell ref="B9:C9"/>
    <mergeCell ref="B10:C10"/>
    <mergeCell ref="B11:C11"/>
  </mergeCells>
  <pageMargins left="0.7" right="0.7" top="0.75" bottom="0.75" header="0.3" footer="0.3"/>
  <pageSetup paperSize="9" scale="51" orientation="portrait"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5BE44C-7A62-43AD-9A24-E498D18575DC}">
  <sheetPr>
    <tabColor theme="0"/>
    <pageSetUpPr fitToPage="1"/>
  </sheetPr>
  <dimension ref="A1:I68"/>
  <sheetViews>
    <sheetView view="pageBreakPreview" topLeftCell="A33" zoomScaleNormal="100" zoomScaleSheetLayoutView="100" workbookViewId="0">
      <selection activeCell="B81" sqref="B81"/>
    </sheetView>
  </sheetViews>
  <sheetFormatPr defaultColWidth="9.140625" defaultRowHeight="15" zeroHeight="1" x14ac:dyDescent="0.25"/>
  <cols>
    <col min="1" max="1" width="1.7109375" style="950" customWidth="1"/>
    <col min="2" max="2" width="8.7109375" style="220" customWidth="1"/>
    <col min="3" max="3" width="14.5703125" style="128" customWidth="1"/>
    <col min="4" max="4" width="19.5703125" style="128" customWidth="1"/>
    <col min="5" max="5" width="30.7109375" style="128" customWidth="1"/>
    <col min="6" max="6" width="29.85546875" style="128" customWidth="1"/>
    <col min="7" max="7" width="11.5703125" style="128" customWidth="1"/>
    <col min="8" max="8" width="11.7109375" style="950" customWidth="1"/>
    <col min="9" max="253" width="9.140625" style="128" customWidth="1"/>
    <col min="254" max="254" width="8" style="128" customWidth="1"/>
    <col min="255" max="255" width="8.7109375" style="128" customWidth="1"/>
    <col min="256" max="256" width="14.5703125" style="128" customWidth="1"/>
    <col min="257" max="257" width="19.5703125" style="128" customWidth="1"/>
    <col min="258" max="258" width="30.7109375" style="128" customWidth="1"/>
    <col min="259" max="259" width="27.7109375" style="128" customWidth="1"/>
    <col min="260" max="260" width="11.5703125" style="128" customWidth="1"/>
    <col min="261" max="261" width="11.7109375" style="128" customWidth="1"/>
    <col min="262" max="262" width="9.140625" style="128" customWidth="1"/>
    <col min="263" max="509" width="9.140625" style="128"/>
    <col min="510" max="510" width="8" style="128" customWidth="1"/>
    <col min="511" max="511" width="8.7109375" style="128" customWidth="1"/>
    <col min="512" max="512" width="14.5703125" style="128" customWidth="1"/>
    <col min="513" max="513" width="19.5703125" style="128" customWidth="1"/>
    <col min="514" max="514" width="30.7109375" style="128" customWidth="1"/>
    <col min="515" max="515" width="27.7109375" style="128" customWidth="1"/>
    <col min="516" max="516" width="11.5703125" style="128" customWidth="1"/>
    <col min="517" max="517" width="11.7109375" style="128" customWidth="1"/>
    <col min="518" max="518" width="9.140625" style="128" customWidth="1"/>
    <col min="519" max="765" width="9.140625" style="128"/>
    <col min="766" max="766" width="8" style="128" customWidth="1"/>
    <col min="767" max="767" width="8.7109375" style="128" customWidth="1"/>
    <col min="768" max="768" width="14.5703125" style="128" customWidth="1"/>
    <col min="769" max="769" width="19.5703125" style="128" customWidth="1"/>
    <col min="770" max="770" width="30.7109375" style="128" customWidth="1"/>
    <col min="771" max="771" width="27.7109375" style="128" customWidth="1"/>
    <col min="772" max="772" width="11.5703125" style="128" customWidth="1"/>
    <col min="773" max="773" width="11.7109375" style="128" customWidth="1"/>
    <col min="774" max="774" width="9.140625" style="128" customWidth="1"/>
    <col min="775" max="1021" width="9.140625" style="128"/>
    <col min="1022" max="1022" width="8" style="128" customWidth="1"/>
    <col min="1023" max="1023" width="8.7109375" style="128" customWidth="1"/>
    <col min="1024" max="1024" width="14.5703125" style="128" customWidth="1"/>
    <col min="1025" max="1025" width="19.5703125" style="128" customWidth="1"/>
    <col min="1026" max="1026" width="30.7109375" style="128" customWidth="1"/>
    <col min="1027" max="1027" width="27.7109375" style="128" customWidth="1"/>
    <col min="1028" max="1028" width="11.5703125" style="128" customWidth="1"/>
    <col min="1029" max="1029" width="11.7109375" style="128" customWidth="1"/>
    <col min="1030" max="1030" width="9.140625" style="128" customWidth="1"/>
    <col min="1031" max="1277" width="9.140625" style="128"/>
    <col min="1278" max="1278" width="8" style="128" customWidth="1"/>
    <col min="1279" max="1279" width="8.7109375" style="128" customWidth="1"/>
    <col min="1280" max="1280" width="14.5703125" style="128" customWidth="1"/>
    <col min="1281" max="1281" width="19.5703125" style="128" customWidth="1"/>
    <col min="1282" max="1282" width="30.7109375" style="128" customWidth="1"/>
    <col min="1283" max="1283" width="27.7109375" style="128" customWidth="1"/>
    <col min="1284" max="1284" width="11.5703125" style="128" customWidth="1"/>
    <col min="1285" max="1285" width="11.7109375" style="128" customWidth="1"/>
    <col min="1286" max="1286" width="9.140625" style="128" customWidth="1"/>
    <col min="1287" max="1533" width="9.140625" style="128"/>
    <col min="1534" max="1534" width="8" style="128" customWidth="1"/>
    <col min="1535" max="1535" width="8.7109375" style="128" customWidth="1"/>
    <col min="1536" max="1536" width="14.5703125" style="128" customWidth="1"/>
    <col min="1537" max="1537" width="19.5703125" style="128" customWidth="1"/>
    <col min="1538" max="1538" width="30.7109375" style="128" customWidth="1"/>
    <col min="1539" max="1539" width="27.7109375" style="128" customWidth="1"/>
    <col min="1540" max="1540" width="11.5703125" style="128" customWidth="1"/>
    <col min="1541" max="1541" width="11.7109375" style="128" customWidth="1"/>
    <col min="1542" max="1542" width="9.140625" style="128" customWidth="1"/>
    <col min="1543" max="1789" width="9.140625" style="128"/>
    <col min="1790" max="1790" width="8" style="128" customWidth="1"/>
    <col min="1791" max="1791" width="8.7109375" style="128" customWidth="1"/>
    <col min="1792" max="1792" width="14.5703125" style="128" customWidth="1"/>
    <col min="1793" max="1793" width="19.5703125" style="128" customWidth="1"/>
    <col min="1794" max="1794" width="30.7109375" style="128" customWidth="1"/>
    <col min="1795" max="1795" width="27.7109375" style="128" customWidth="1"/>
    <col min="1796" max="1796" width="11.5703125" style="128" customWidth="1"/>
    <col min="1797" max="1797" width="11.7109375" style="128" customWidth="1"/>
    <col min="1798" max="1798" width="9.140625" style="128" customWidth="1"/>
    <col min="1799" max="2045" width="9.140625" style="128"/>
    <col min="2046" max="2046" width="8" style="128" customWidth="1"/>
    <col min="2047" max="2047" width="8.7109375" style="128" customWidth="1"/>
    <col min="2048" max="2048" width="14.5703125" style="128" customWidth="1"/>
    <col min="2049" max="2049" width="19.5703125" style="128" customWidth="1"/>
    <col min="2050" max="2050" width="30.7109375" style="128" customWidth="1"/>
    <col min="2051" max="2051" width="27.7109375" style="128" customWidth="1"/>
    <col min="2052" max="2052" width="11.5703125" style="128" customWidth="1"/>
    <col min="2053" max="2053" width="11.7109375" style="128" customWidth="1"/>
    <col min="2054" max="2054" width="9.140625" style="128" customWidth="1"/>
    <col min="2055" max="2301" width="9.140625" style="128"/>
    <col min="2302" max="2302" width="8" style="128" customWidth="1"/>
    <col min="2303" max="2303" width="8.7109375" style="128" customWidth="1"/>
    <col min="2304" max="2304" width="14.5703125" style="128" customWidth="1"/>
    <col min="2305" max="2305" width="19.5703125" style="128" customWidth="1"/>
    <col min="2306" max="2306" width="30.7109375" style="128" customWidth="1"/>
    <col min="2307" max="2307" width="27.7109375" style="128" customWidth="1"/>
    <col min="2308" max="2308" width="11.5703125" style="128" customWidth="1"/>
    <col min="2309" max="2309" width="11.7109375" style="128" customWidth="1"/>
    <col min="2310" max="2310" width="9.140625" style="128" customWidth="1"/>
    <col min="2311" max="2557" width="9.140625" style="128"/>
    <col min="2558" max="2558" width="8" style="128" customWidth="1"/>
    <col min="2559" max="2559" width="8.7109375" style="128" customWidth="1"/>
    <col min="2560" max="2560" width="14.5703125" style="128" customWidth="1"/>
    <col min="2561" max="2561" width="19.5703125" style="128" customWidth="1"/>
    <col min="2562" max="2562" width="30.7109375" style="128" customWidth="1"/>
    <col min="2563" max="2563" width="27.7109375" style="128" customWidth="1"/>
    <col min="2564" max="2564" width="11.5703125" style="128" customWidth="1"/>
    <col min="2565" max="2565" width="11.7109375" style="128" customWidth="1"/>
    <col min="2566" max="2566" width="9.140625" style="128" customWidth="1"/>
    <col min="2567" max="2813" width="9.140625" style="128"/>
    <col min="2814" max="2814" width="8" style="128" customWidth="1"/>
    <col min="2815" max="2815" width="8.7109375" style="128" customWidth="1"/>
    <col min="2816" max="2816" width="14.5703125" style="128" customWidth="1"/>
    <col min="2817" max="2817" width="19.5703125" style="128" customWidth="1"/>
    <col min="2818" max="2818" width="30.7109375" style="128" customWidth="1"/>
    <col min="2819" max="2819" width="27.7109375" style="128" customWidth="1"/>
    <col min="2820" max="2820" width="11.5703125" style="128" customWidth="1"/>
    <col min="2821" max="2821" width="11.7109375" style="128" customWidth="1"/>
    <col min="2822" max="2822" width="9.140625" style="128" customWidth="1"/>
    <col min="2823" max="3069" width="9.140625" style="128"/>
    <col min="3070" max="3070" width="8" style="128" customWidth="1"/>
    <col min="3071" max="3071" width="8.7109375" style="128" customWidth="1"/>
    <col min="3072" max="3072" width="14.5703125" style="128" customWidth="1"/>
    <col min="3073" max="3073" width="19.5703125" style="128" customWidth="1"/>
    <col min="3074" max="3074" width="30.7109375" style="128" customWidth="1"/>
    <col min="3075" max="3075" width="27.7109375" style="128" customWidth="1"/>
    <col min="3076" max="3076" width="11.5703125" style="128" customWidth="1"/>
    <col min="3077" max="3077" width="11.7109375" style="128" customWidth="1"/>
    <col min="3078" max="3078" width="9.140625" style="128" customWidth="1"/>
    <col min="3079" max="3325" width="9.140625" style="128"/>
    <col min="3326" max="3326" width="8" style="128" customWidth="1"/>
    <col min="3327" max="3327" width="8.7109375" style="128" customWidth="1"/>
    <col min="3328" max="3328" width="14.5703125" style="128" customWidth="1"/>
    <col min="3329" max="3329" width="19.5703125" style="128" customWidth="1"/>
    <col min="3330" max="3330" width="30.7109375" style="128" customWidth="1"/>
    <col min="3331" max="3331" width="27.7109375" style="128" customWidth="1"/>
    <col min="3332" max="3332" width="11.5703125" style="128" customWidth="1"/>
    <col min="3333" max="3333" width="11.7109375" style="128" customWidth="1"/>
    <col min="3334" max="3334" width="9.140625" style="128" customWidth="1"/>
    <col min="3335" max="3581" width="9.140625" style="128"/>
    <col min="3582" max="3582" width="8" style="128" customWidth="1"/>
    <col min="3583" max="3583" width="8.7109375" style="128" customWidth="1"/>
    <col min="3584" max="3584" width="14.5703125" style="128" customWidth="1"/>
    <col min="3585" max="3585" width="19.5703125" style="128" customWidth="1"/>
    <col min="3586" max="3586" width="30.7109375" style="128" customWidth="1"/>
    <col min="3587" max="3587" width="27.7109375" style="128" customWidth="1"/>
    <col min="3588" max="3588" width="11.5703125" style="128" customWidth="1"/>
    <col min="3589" max="3589" width="11.7109375" style="128" customWidth="1"/>
    <col min="3590" max="3590" width="9.140625" style="128" customWidth="1"/>
    <col min="3591" max="3837" width="9.140625" style="128"/>
    <col min="3838" max="3838" width="8" style="128" customWidth="1"/>
    <col min="3839" max="3839" width="8.7109375" style="128" customWidth="1"/>
    <col min="3840" max="3840" width="14.5703125" style="128" customWidth="1"/>
    <col min="3841" max="3841" width="19.5703125" style="128" customWidth="1"/>
    <col min="3842" max="3842" width="30.7109375" style="128" customWidth="1"/>
    <col min="3843" max="3843" width="27.7109375" style="128" customWidth="1"/>
    <col min="3844" max="3844" width="11.5703125" style="128" customWidth="1"/>
    <col min="3845" max="3845" width="11.7109375" style="128" customWidth="1"/>
    <col min="3846" max="3846" width="9.140625" style="128" customWidth="1"/>
    <col min="3847" max="4093" width="9.140625" style="128"/>
    <col min="4094" max="4094" width="8" style="128" customWidth="1"/>
    <col min="4095" max="4095" width="8.7109375" style="128" customWidth="1"/>
    <col min="4096" max="4096" width="14.5703125" style="128" customWidth="1"/>
    <col min="4097" max="4097" width="19.5703125" style="128" customWidth="1"/>
    <col min="4098" max="4098" width="30.7109375" style="128" customWidth="1"/>
    <col min="4099" max="4099" width="27.7109375" style="128" customWidth="1"/>
    <col min="4100" max="4100" width="11.5703125" style="128" customWidth="1"/>
    <col min="4101" max="4101" width="11.7109375" style="128" customWidth="1"/>
    <col min="4102" max="4102" width="9.140625" style="128" customWidth="1"/>
    <col min="4103" max="4349" width="9.140625" style="128"/>
    <col min="4350" max="4350" width="8" style="128" customWidth="1"/>
    <col min="4351" max="4351" width="8.7109375" style="128" customWidth="1"/>
    <col min="4352" max="4352" width="14.5703125" style="128" customWidth="1"/>
    <col min="4353" max="4353" width="19.5703125" style="128" customWidth="1"/>
    <col min="4354" max="4354" width="30.7109375" style="128" customWidth="1"/>
    <col min="4355" max="4355" width="27.7109375" style="128" customWidth="1"/>
    <col min="4356" max="4356" width="11.5703125" style="128" customWidth="1"/>
    <col min="4357" max="4357" width="11.7109375" style="128" customWidth="1"/>
    <col min="4358" max="4358" width="9.140625" style="128" customWidth="1"/>
    <col min="4359" max="4605" width="9.140625" style="128"/>
    <col min="4606" max="4606" width="8" style="128" customWidth="1"/>
    <col min="4607" max="4607" width="8.7109375" style="128" customWidth="1"/>
    <col min="4608" max="4608" width="14.5703125" style="128" customWidth="1"/>
    <col min="4609" max="4609" width="19.5703125" style="128" customWidth="1"/>
    <col min="4610" max="4610" width="30.7109375" style="128" customWidth="1"/>
    <col min="4611" max="4611" width="27.7109375" style="128" customWidth="1"/>
    <col min="4612" max="4612" width="11.5703125" style="128" customWidth="1"/>
    <col min="4613" max="4613" width="11.7109375" style="128" customWidth="1"/>
    <col min="4614" max="4614" width="9.140625" style="128" customWidth="1"/>
    <col min="4615" max="4861" width="9.140625" style="128"/>
    <col min="4862" max="4862" width="8" style="128" customWidth="1"/>
    <col min="4863" max="4863" width="8.7109375" style="128" customWidth="1"/>
    <col min="4864" max="4864" width="14.5703125" style="128" customWidth="1"/>
    <col min="4865" max="4865" width="19.5703125" style="128" customWidth="1"/>
    <col min="4866" max="4866" width="30.7109375" style="128" customWidth="1"/>
    <col min="4867" max="4867" width="27.7109375" style="128" customWidth="1"/>
    <col min="4868" max="4868" width="11.5703125" style="128" customWidth="1"/>
    <col min="4869" max="4869" width="11.7109375" style="128" customWidth="1"/>
    <col min="4870" max="4870" width="9.140625" style="128" customWidth="1"/>
    <col min="4871" max="5117" width="9.140625" style="128"/>
    <col min="5118" max="5118" width="8" style="128" customWidth="1"/>
    <col min="5119" max="5119" width="8.7109375" style="128" customWidth="1"/>
    <col min="5120" max="5120" width="14.5703125" style="128" customWidth="1"/>
    <col min="5121" max="5121" width="19.5703125" style="128" customWidth="1"/>
    <col min="5122" max="5122" width="30.7109375" style="128" customWidth="1"/>
    <col min="5123" max="5123" width="27.7109375" style="128" customWidth="1"/>
    <col min="5124" max="5124" width="11.5703125" style="128" customWidth="1"/>
    <col min="5125" max="5125" width="11.7109375" style="128" customWidth="1"/>
    <col min="5126" max="5126" width="9.140625" style="128" customWidth="1"/>
    <col min="5127" max="5373" width="9.140625" style="128"/>
    <col min="5374" max="5374" width="8" style="128" customWidth="1"/>
    <col min="5375" max="5375" width="8.7109375" style="128" customWidth="1"/>
    <col min="5376" max="5376" width="14.5703125" style="128" customWidth="1"/>
    <col min="5377" max="5377" width="19.5703125" style="128" customWidth="1"/>
    <col min="5378" max="5378" width="30.7109375" style="128" customWidth="1"/>
    <col min="5379" max="5379" width="27.7109375" style="128" customWidth="1"/>
    <col min="5380" max="5380" width="11.5703125" style="128" customWidth="1"/>
    <col min="5381" max="5381" width="11.7109375" style="128" customWidth="1"/>
    <col min="5382" max="5382" width="9.140625" style="128" customWidth="1"/>
    <col min="5383" max="5629" width="9.140625" style="128"/>
    <col min="5630" max="5630" width="8" style="128" customWidth="1"/>
    <col min="5631" max="5631" width="8.7109375" style="128" customWidth="1"/>
    <col min="5632" max="5632" width="14.5703125" style="128" customWidth="1"/>
    <col min="5633" max="5633" width="19.5703125" style="128" customWidth="1"/>
    <col min="5634" max="5634" width="30.7109375" style="128" customWidth="1"/>
    <col min="5635" max="5635" width="27.7109375" style="128" customWidth="1"/>
    <col min="5636" max="5636" width="11.5703125" style="128" customWidth="1"/>
    <col min="5637" max="5637" width="11.7109375" style="128" customWidth="1"/>
    <col min="5638" max="5638" width="9.140625" style="128" customWidth="1"/>
    <col min="5639" max="5885" width="9.140625" style="128"/>
    <col min="5886" max="5886" width="8" style="128" customWidth="1"/>
    <col min="5887" max="5887" width="8.7109375" style="128" customWidth="1"/>
    <col min="5888" max="5888" width="14.5703125" style="128" customWidth="1"/>
    <col min="5889" max="5889" width="19.5703125" style="128" customWidth="1"/>
    <col min="5890" max="5890" width="30.7109375" style="128" customWidth="1"/>
    <col min="5891" max="5891" width="27.7109375" style="128" customWidth="1"/>
    <col min="5892" max="5892" width="11.5703125" style="128" customWidth="1"/>
    <col min="5893" max="5893" width="11.7109375" style="128" customWidth="1"/>
    <col min="5894" max="5894" width="9.140625" style="128" customWidth="1"/>
    <col min="5895" max="6141" width="9.140625" style="128"/>
    <col min="6142" max="6142" width="8" style="128" customWidth="1"/>
    <col min="6143" max="6143" width="8.7109375" style="128" customWidth="1"/>
    <col min="6144" max="6144" width="14.5703125" style="128" customWidth="1"/>
    <col min="6145" max="6145" width="19.5703125" style="128" customWidth="1"/>
    <col min="6146" max="6146" width="30.7109375" style="128" customWidth="1"/>
    <col min="6147" max="6147" width="27.7109375" style="128" customWidth="1"/>
    <col min="6148" max="6148" width="11.5703125" style="128" customWidth="1"/>
    <col min="6149" max="6149" width="11.7109375" style="128" customWidth="1"/>
    <col min="6150" max="6150" width="9.140625" style="128" customWidth="1"/>
    <col min="6151" max="6397" width="9.140625" style="128"/>
    <col min="6398" max="6398" width="8" style="128" customWidth="1"/>
    <col min="6399" max="6399" width="8.7109375" style="128" customWidth="1"/>
    <col min="6400" max="6400" width="14.5703125" style="128" customWidth="1"/>
    <col min="6401" max="6401" width="19.5703125" style="128" customWidth="1"/>
    <col min="6402" max="6402" width="30.7109375" style="128" customWidth="1"/>
    <col min="6403" max="6403" width="27.7109375" style="128" customWidth="1"/>
    <col min="6404" max="6404" width="11.5703125" style="128" customWidth="1"/>
    <col min="6405" max="6405" width="11.7109375" style="128" customWidth="1"/>
    <col min="6406" max="6406" width="9.140625" style="128" customWidth="1"/>
    <col min="6407" max="6653" width="9.140625" style="128"/>
    <col min="6654" max="6654" width="8" style="128" customWidth="1"/>
    <col min="6655" max="6655" width="8.7109375" style="128" customWidth="1"/>
    <col min="6656" max="6656" width="14.5703125" style="128" customWidth="1"/>
    <col min="6657" max="6657" width="19.5703125" style="128" customWidth="1"/>
    <col min="6658" max="6658" width="30.7109375" style="128" customWidth="1"/>
    <col min="6659" max="6659" width="27.7109375" style="128" customWidth="1"/>
    <col min="6660" max="6660" width="11.5703125" style="128" customWidth="1"/>
    <col min="6661" max="6661" width="11.7109375" style="128" customWidth="1"/>
    <col min="6662" max="6662" width="9.140625" style="128" customWidth="1"/>
    <col min="6663" max="6909" width="9.140625" style="128"/>
    <col min="6910" max="6910" width="8" style="128" customWidth="1"/>
    <col min="6911" max="6911" width="8.7109375" style="128" customWidth="1"/>
    <col min="6912" max="6912" width="14.5703125" style="128" customWidth="1"/>
    <col min="6913" max="6913" width="19.5703125" style="128" customWidth="1"/>
    <col min="6914" max="6914" width="30.7109375" style="128" customWidth="1"/>
    <col min="6915" max="6915" width="27.7109375" style="128" customWidth="1"/>
    <col min="6916" max="6916" width="11.5703125" style="128" customWidth="1"/>
    <col min="6917" max="6917" width="11.7109375" style="128" customWidth="1"/>
    <col min="6918" max="6918" width="9.140625" style="128" customWidth="1"/>
    <col min="6919" max="7165" width="9.140625" style="128"/>
    <col min="7166" max="7166" width="8" style="128" customWidth="1"/>
    <col min="7167" max="7167" width="8.7109375" style="128" customWidth="1"/>
    <col min="7168" max="7168" width="14.5703125" style="128" customWidth="1"/>
    <col min="7169" max="7169" width="19.5703125" style="128" customWidth="1"/>
    <col min="7170" max="7170" width="30.7109375" style="128" customWidth="1"/>
    <col min="7171" max="7171" width="27.7109375" style="128" customWidth="1"/>
    <col min="7172" max="7172" width="11.5703125" style="128" customWidth="1"/>
    <col min="7173" max="7173" width="11.7109375" style="128" customWidth="1"/>
    <col min="7174" max="7174" width="9.140625" style="128" customWidth="1"/>
    <col min="7175" max="7421" width="9.140625" style="128"/>
    <col min="7422" max="7422" width="8" style="128" customWidth="1"/>
    <col min="7423" max="7423" width="8.7109375" style="128" customWidth="1"/>
    <col min="7424" max="7424" width="14.5703125" style="128" customWidth="1"/>
    <col min="7425" max="7425" width="19.5703125" style="128" customWidth="1"/>
    <col min="7426" max="7426" width="30.7109375" style="128" customWidth="1"/>
    <col min="7427" max="7427" width="27.7109375" style="128" customWidth="1"/>
    <col min="7428" max="7428" width="11.5703125" style="128" customWidth="1"/>
    <col min="7429" max="7429" width="11.7109375" style="128" customWidth="1"/>
    <col min="7430" max="7430" width="9.140625" style="128" customWidth="1"/>
    <col min="7431" max="7677" width="9.140625" style="128"/>
    <col min="7678" max="7678" width="8" style="128" customWidth="1"/>
    <col min="7679" max="7679" width="8.7109375" style="128" customWidth="1"/>
    <col min="7680" max="7680" width="14.5703125" style="128" customWidth="1"/>
    <col min="7681" max="7681" width="19.5703125" style="128" customWidth="1"/>
    <col min="7682" max="7682" width="30.7109375" style="128" customWidth="1"/>
    <col min="7683" max="7683" width="27.7109375" style="128" customWidth="1"/>
    <col min="7684" max="7684" width="11.5703125" style="128" customWidth="1"/>
    <col min="7685" max="7685" width="11.7109375" style="128" customWidth="1"/>
    <col min="7686" max="7686" width="9.140625" style="128" customWidth="1"/>
    <col min="7687" max="7933" width="9.140625" style="128"/>
    <col min="7934" max="7934" width="8" style="128" customWidth="1"/>
    <col min="7935" max="7935" width="8.7109375" style="128" customWidth="1"/>
    <col min="7936" max="7936" width="14.5703125" style="128" customWidth="1"/>
    <col min="7937" max="7937" width="19.5703125" style="128" customWidth="1"/>
    <col min="7938" max="7938" width="30.7109375" style="128" customWidth="1"/>
    <col min="7939" max="7939" width="27.7109375" style="128" customWidth="1"/>
    <col min="7940" max="7940" width="11.5703125" style="128" customWidth="1"/>
    <col min="7941" max="7941" width="11.7109375" style="128" customWidth="1"/>
    <col min="7942" max="7942" width="9.140625" style="128" customWidth="1"/>
    <col min="7943" max="8189" width="9.140625" style="128"/>
    <col min="8190" max="8190" width="8" style="128" customWidth="1"/>
    <col min="8191" max="8191" width="8.7109375" style="128" customWidth="1"/>
    <col min="8192" max="8192" width="14.5703125" style="128" customWidth="1"/>
    <col min="8193" max="8193" width="19.5703125" style="128" customWidth="1"/>
    <col min="8194" max="8194" width="30.7109375" style="128" customWidth="1"/>
    <col min="8195" max="8195" width="27.7109375" style="128" customWidth="1"/>
    <col min="8196" max="8196" width="11.5703125" style="128" customWidth="1"/>
    <col min="8197" max="8197" width="11.7109375" style="128" customWidth="1"/>
    <col min="8198" max="8198" width="9.140625" style="128" customWidth="1"/>
    <col min="8199" max="8445" width="9.140625" style="128"/>
    <col min="8446" max="8446" width="8" style="128" customWidth="1"/>
    <col min="8447" max="8447" width="8.7109375" style="128" customWidth="1"/>
    <col min="8448" max="8448" width="14.5703125" style="128" customWidth="1"/>
    <col min="8449" max="8449" width="19.5703125" style="128" customWidth="1"/>
    <col min="8450" max="8450" width="30.7109375" style="128" customWidth="1"/>
    <col min="8451" max="8451" width="27.7109375" style="128" customWidth="1"/>
    <col min="8452" max="8452" width="11.5703125" style="128" customWidth="1"/>
    <col min="8453" max="8453" width="11.7109375" style="128" customWidth="1"/>
    <col min="8454" max="8454" width="9.140625" style="128" customWidth="1"/>
    <col min="8455" max="8701" width="9.140625" style="128"/>
    <col min="8702" max="8702" width="8" style="128" customWidth="1"/>
    <col min="8703" max="8703" width="8.7109375" style="128" customWidth="1"/>
    <col min="8704" max="8704" width="14.5703125" style="128" customWidth="1"/>
    <col min="8705" max="8705" width="19.5703125" style="128" customWidth="1"/>
    <col min="8706" max="8706" width="30.7109375" style="128" customWidth="1"/>
    <col min="8707" max="8707" width="27.7109375" style="128" customWidth="1"/>
    <col min="8708" max="8708" width="11.5703125" style="128" customWidth="1"/>
    <col min="8709" max="8709" width="11.7109375" style="128" customWidth="1"/>
    <col min="8710" max="8710" width="9.140625" style="128" customWidth="1"/>
    <col min="8711" max="8957" width="9.140625" style="128"/>
    <col min="8958" max="8958" width="8" style="128" customWidth="1"/>
    <col min="8959" max="8959" width="8.7109375" style="128" customWidth="1"/>
    <col min="8960" max="8960" width="14.5703125" style="128" customWidth="1"/>
    <col min="8961" max="8961" width="19.5703125" style="128" customWidth="1"/>
    <col min="8962" max="8962" width="30.7109375" style="128" customWidth="1"/>
    <col min="8963" max="8963" width="27.7109375" style="128" customWidth="1"/>
    <col min="8964" max="8964" width="11.5703125" style="128" customWidth="1"/>
    <col min="8965" max="8965" width="11.7109375" style="128" customWidth="1"/>
    <col min="8966" max="8966" width="9.140625" style="128" customWidth="1"/>
    <col min="8967" max="9213" width="9.140625" style="128"/>
    <col min="9214" max="9214" width="8" style="128" customWidth="1"/>
    <col min="9215" max="9215" width="8.7109375" style="128" customWidth="1"/>
    <col min="9216" max="9216" width="14.5703125" style="128" customWidth="1"/>
    <col min="9217" max="9217" width="19.5703125" style="128" customWidth="1"/>
    <col min="9218" max="9218" width="30.7109375" style="128" customWidth="1"/>
    <col min="9219" max="9219" width="27.7109375" style="128" customWidth="1"/>
    <col min="9220" max="9220" width="11.5703125" style="128" customWidth="1"/>
    <col min="9221" max="9221" width="11.7109375" style="128" customWidth="1"/>
    <col min="9222" max="9222" width="9.140625" style="128" customWidth="1"/>
    <col min="9223" max="9469" width="9.140625" style="128"/>
    <col min="9470" max="9470" width="8" style="128" customWidth="1"/>
    <col min="9471" max="9471" width="8.7109375" style="128" customWidth="1"/>
    <col min="9472" max="9472" width="14.5703125" style="128" customWidth="1"/>
    <col min="9473" max="9473" width="19.5703125" style="128" customWidth="1"/>
    <col min="9474" max="9474" width="30.7109375" style="128" customWidth="1"/>
    <col min="9475" max="9475" width="27.7109375" style="128" customWidth="1"/>
    <col min="9476" max="9476" width="11.5703125" style="128" customWidth="1"/>
    <col min="9477" max="9477" width="11.7109375" style="128" customWidth="1"/>
    <col min="9478" max="9478" width="9.140625" style="128" customWidth="1"/>
    <col min="9479" max="9725" width="9.140625" style="128"/>
    <col min="9726" max="9726" width="8" style="128" customWidth="1"/>
    <col min="9727" max="9727" width="8.7109375" style="128" customWidth="1"/>
    <col min="9728" max="9728" width="14.5703125" style="128" customWidth="1"/>
    <col min="9729" max="9729" width="19.5703125" style="128" customWidth="1"/>
    <col min="9730" max="9730" width="30.7109375" style="128" customWidth="1"/>
    <col min="9731" max="9731" width="27.7109375" style="128" customWidth="1"/>
    <col min="9732" max="9732" width="11.5703125" style="128" customWidth="1"/>
    <col min="9733" max="9733" width="11.7109375" style="128" customWidth="1"/>
    <col min="9734" max="9734" width="9.140625" style="128" customWidth="1"/>
    <col min="9735" max="9981" width="9.140625" style="128"/>
    <col min="9982" max="9982" width="8" style="128" customWidth="1"/>
    <col min="9983" max="9983" width="8.7109375" style="128" customWidth="1"/>
    <col min="9984" max="9984" width="14.5703125" style="128" customWidth="1"/>
    <col min="9985" max="9985" width="19.5703125" style="128" customWidth="1"/>
    <col min="9986" max="9986" width="30.7109375" style="128" customWidth="1"/>
    <col min="9987" max="9987" width="27.7109375" style="128" customWidth="1"/>
    <col min="9988" max="9988" width="11.5703125" style="128" customWidth="1"/>
    <col min="9989" max="9989" width="11.7109375" style="128" customWidth="1"/>
    <col min="9990" max="9990" width="9.140625" style="128" customWidth="1"/>
    <col min="9991" max="10237" width="9.140625" style="128"/>
    <col min="10238" max="10238" width="8" style="128" customWidth="1"/>
    <col min="10239" max="10239" width="8.7109375" style="128" customWidth="1"/>
    <col min="10240" max="10240" width="14.5703125" style="128" customWidth="1"/>
    <col min="10241" max="10241" width="19.5703125" style="128" customWidth="1"/>
    <col min="10242" max="10242" width="30.7109375" style="128" customWidth="1"/>
    <col min="10243" max="10243" width="27.7109375" style="128" customWidth="1"/>
    <col min="10244" max="10244" width="11.5703125" style="128" customWidth="1"/>
    <col min="10245" max="10245" width="11.7109375" style="128" customWidth="1"/>
    <col min="10246" max="10246" width="9.140625" style="128" customWidth="1"/>
    <col min="10247" max="10493" width="9.140625" style="128"/>
    <col min="10494" max="10494" width="8" style="128" customWidth="1"/>
    <col min="10495" max="10495" width="8.7109375" style="128" customWidth="1"/>
    <col min="10496" max="10496" width="14.5703125" style="128" customWidth="1"/>
    <col min="10497" max="10497" width="19.5703125" style="128" customWidth="1"/>
    <col min="10498" max="10498" width="30.7109375" style="128" customWidth="1"/>
    <col min="10499" max="10499" width="27.7109375" style="128" customWidth="1"/>
    <col min="10500" max="10500" width="11.5703125" style="128" customWidth="1"/>
    <col min="10501" max="10501" width="11.7109375" style="128" customWidth="1"/>
    <col min="10502" max="10502" width="9.140625" style="128" customWidth="1"/>
    <col min="10503" max="10749" width="9.140625" style="128"/>
    <col min="10750" max="10750" width="8" style="128" customWidth="1"/>
    <col min="10751" max="10751" width="8.7109375" style="128" customWidth="1"/>
    <col min="10752" max="10752" width="14.5703125" style="128" customWidth="1"/>
    <col min="10753" max="10753" width="19.5703125" style="128" customWidth="1"/>
    <col min="10754" max="10754" width="30.7109375" style="128" customWidth="1"/>
    <col min="10755" max="10755" width="27.7109375" style="128" customWidth="1"/>
    <col min="10756" max="10756" width="11.5703125" style="128" customWidth="1"/>
    <col min="10757" max="10757" width="11.7109375" style="128" customWidth="1"/>
    <col min="10758" max="10758" width="9.140625" style="128" customWidth="1"/>
    <col min="10759" max="11005" width="9.140625" style="128"/>
    <col min="11006" max="11006" width="8" style="128" customWidth="1"/>
    <col min="11007" max="11007" width="8.7109375" style="128" customWidth="1"/>
    <col min="11008" max="11008" width="14.5703125" style="128" customWidth="1"/>
    <col min="11009" max="11009" width="19.5703125" style="128" customWidth="1"/>
    <col min="11010" max="11010" width="30.7109375" style="128" customWidth="1"/>
    <col min="11011" max="11011" width="27.7109375" style="128" customWidth="1"/>
    <col min="11012" max="11012" width="11.5703125" style="128" customWidth="1"/>
    <col min="11013" max="11013" width="11.7109375" style="128" customWidth="1"/>
    <col min="11014" max="11014" width="9.140625" style="128" customWidth="1"/>
    <col min="11015" max="11261" width="9.140625" style="128"/>
    <col min="11262" max="11262" width="8" style="128" customWidth="1"/>
    <col min="11263" max="11263" width="8.7109375" style="128" customWidth="1"/>
    <col min="11264" max="11264" width="14.5703125" style="128" customWidth="1"/>
    <col min="11265" max="11265" width="19.5703125" style="128" customWidth="1"/>
    <col min="11266" max="11266" width="30.7109375" style="128" customWidth="1"/>
    <col min="11267" max="11267" width="27.7109375" style="128" customWidth="1"/>
    <col min="11268" max="11268" width="11.5703125" style="128" customWidth="1"/>
    <col min="11269" max="11269" width="11.7109375" style="128" customWidth="1"/>
    <col min="11270" max="11270" width="9.140625" style="128" customWidth="1"/>
    <col min="11271" max="11517" width="9.140625" style="128"/>
    <col min="11518" max="11518" width="8" style="128" customWidth="1"/>
    <col min="11519" max="11519" width="8.7109375" style="128" customWidth="1"/>
    <col min="11520" max="11520" width="14.5703125" style="128" customWidth="1"/>
    <col min="11521" max="11521" width="19.5703125" style="128" customWidth="1"/>
    <col min="11522" max="11522" width="30.7109375" style="128" customWidth="1"/>
    <col min="11523" max="11523" width="27.7109375" style="128" customWidth="1"/>
    <col min="11524" max="11524" width="11.5703125" style="128" customWidth="1"/>
    <col min="11525" max="11525" width="11.7109375" style="128" customWidth="1"/>
    <col min="11526" max="11526" width="9.140625" style="128" customWidth="1"/>
    <col min="11527" max="11773" width="9.140625" style="128"/>
    <col min="11774" max="11774" width="8" style="128" customWidth="1"/>
    <col min="11775" max="11775" width="8.7109375" style="128" customWidth="1"/>
    <col min="11776" max="11776" width="14.5703125" style="128" customWidth="1"/>
    <col min="11777" max="11777" width="19.5703125" style="128" customWidth="1"/>
    <col min="11778" max="11778" width="30.7109375" style="128" customWidth="1"/>
    <col min="11779" max="11779" width="27.7109375" style="128" customWidth="1"/>
    <col min="11780" max="11780" width="11.5703125" style="128" customWidth="1"/>
    <col min="11781" max="11781" width="11.7109375" style="128" customWidth="1"/>
    <col min="11782" max="11782" width="9.140625" style="128" customWidth="1"/>
    <col min="11783" max="12029" width="9.140625" style="128"/>
    <col min="12030" max="12030" width="8" style="128" customWidth="1"/>
    <col min="12031" max="12031" width="8.7109375" style="128" customWidth="1"/>
    <col min="12032" max="12032" width="14.5703125" style="128" customWidth="1"/>
    <col min="12033" max="12033" width="19.5703125" style="128" customWidth="1"/>
    <col min="12034" max="12034" width="30.7109375" style="128" customWidth="1"/>
    <col min="12035" max="12035" width="27.7109375" style="128" customWidth="1"/>
    <col min="12036" max="12036" width="11.5703125" style="128" customWidth="1"/>
    <col min="12037" max="12037" width="11.7109375" style="128" customWidth="1"/>
    <col min="12038" max="12038" width="9.140625" style="128" customWidth="1"/>
    <col min="12039" max="12285" width="9.140625" style="128"/>
    <col min="12286" max="12286" width="8" style="128" customWidth="1"/>
    <col min="12287" max="12287" width="8.7109375" style="128" customWidth="1"/>
    <col min="12288" max="12288" width="14.5703125" style="128" customWidth="1"/>
    <col min="12289" max="12289" width="19.5703125" style="128" customWidth="1"/>
    <col min="12290" max="12290" width="30.7109375" style="128" customWidth="1"/>
    <col min="12291" max="12291" width="27.7109375" style="128" customWidth="1"/>
    <col min="12292" max="12292" width="11.5703125" style="128" customWidth="1"/>
    <col min="12293" max="12293" width="11.7109375" style="128" customWidth="1"/>
    <col min="12294" max="12294" width="9.140625" style="128" customWidth="1"/>
    <col min="12295" max="12541" width="9.140625" style="128"/>
    <col min="12542" max="12542" width="8" style="128" customWidth="1"/>
    <col min="12543" max="12543" width="8.7109375" style="128" customWidth="1"/>
    <col min="12544" max="12544" width="14.5703125" style="128" customWidth="1"/>
    <col min="12545" max="12545" width="19.5703125" style="128" customWidth="1"/>
    <col min="12546" max="12546" width="30.7109375" style="128" customWidth="1"/>
    <col min="12547" max="12547" width="27.7109375" style="128" customWidth="1"/>
    <col min="12548" max="12548" width="11.5703125" style="128" customWidth="1"/>
    <col min="12549" max="12549" width="11.7109375" style="128" customWidth="1"/>
    <col min="12550" max="12550" width="9.140625" style="128" customWidth="1"/>
    <col min="12551" max="12797" width="9.140625" style="128"/>
    <col min="12798" max="12798" width="8" style="128" customWidth="1"/>
    <col min="12799" max="12799" width="8.7109375" style="128" customWidth="1"/>
    <col min="12800" max="12800" width="14.5703125" style="128" customWidth="1"/>
    <col min="12801" max="12801" width="19.5703125" style="128" customWidth="1"/>
    <col min="12802" max="12802" width="30.7109375" style="128" customWidth="1"/>
    <col min="12803" max="12803" width="27.7109375" style="128" customWidth="1"/>
    <col min="12804" max="12804" width="11.5703125" style="128" customWidth="1"/>
    <col min="12805" max="12805" width="11.7109375" style="128" customWidth="1"/>
    <col min="12806" max="12806" width="9.140625" style="128" customWidth="1"/>
    <col min="12807" max="13053" width="9.140625" style="128"/>
    <col min="13054" max="13054" width="8" style="128" customWidth="1"/>
    <col min="13055" max="13055" width="8.7109375" style="128" customWidth="1"/>
    <col min="13056" max="13056" width="14.5703125" style="128" customWidth="1"/>
    <col min="13057" max="13057" width="19.5703125" style="128" customWidth="1"/>
    <col min="13058" max="13058" width="30.7109375" style="128" customWidth="1"/>
    <col min="13059" max="13059" width="27.7109375" style="128" customWidth="1"/>
    <col min="13060" max="13060" width="11.5703125" style="128" customWidth="1"/>
    <col min="13061" max="13061" width="11.7109375" style="128" customWidth="1"/>
    <col min="13062" max="13062" width="9.140625" style="128" customWidth="1"/>
    <col min="13063" max="13309" width="9.140625" style="128"/>
    <col min="13310" max="13310" width="8" style="128" customWidth="1"/>
    <col min="13311" max="13311" width="8.7109375" style="128" customWidth="1"/>
    <col min="13312" max="13312" width="14.5703125" style="128" customWidth="1"/>
    <col min="13313" max="13313" width="19.5703125" style="128" customWidth="1"/>
    <col min="13314" max="13314" width="30.7109375" style="128" customWidth="1"/>
    <col min="13315" max="13315" width="27.7109375" style="128" customWidth="1"/>
    <col min="13316" max="13316" width="11.5703125" style="128" customWidth="1"/>
    <col min="13317" max="13317" width="11.7109375" style="128" customWidth="1"/>
    <col min="13318" max="13318" width="9.140625" style="128" customWidth="1"/>
    <col min="13319" max="13565" width="9.140625" style="128"/>
    <col min="13566" max="13566" width="8" style="128" customWidth="1"/>
    <col min="13567" max="13567" width="8.7109375" style="128" customWidth="1"/>
    <col min="13568" max="13568" width="14.5703125" style="128" customWidth="1"/>
    <col min="13569" max="13569" width="19.5703125" style="128" customWidth="1"/>
    <col min="13570" max="13570" width="30.7109375" style="128" customWidth="1"/>
    <col min="13571" max="13571" width="27.7109375" style="128" customWidth="1"/>
    <col min="13572" max="13572" width="11.5703125" style="128" customWidth="1"/>
    <col min="13573" max="13573" width="11.7109375" style="128" customWidth="1"/>
    <col min="13574" max="13574" width="9.140625" style="128" customWidth="1"/>
    <col min="13575" max="13821" width="9.140625" style="128"/>
    <col min="13822" max="13822" width="8" style="128" customWidth="1"/>
    <col min="13823" max="13823" width="8.7109375" style="128" customWidth="1"/>
    <col min="13824" max="13824" width="14.5703125" style="128" customWidth="1"/>
    <col min="13825" max="13825" width="19.5703125" style="128" customWidth="1"/>
    <col min="13826" max="13826" width="30.7109375" style="128" customWidth="1"/>
    <col min="13827" max="13827" width="27.7109375" style="128" customWidth="1"/>
    <col min="13828" max="13828" width="11.5703125" style="128" customWidth="1"/>
    <col min="13829" max="13829" width="11.7109375" style="128" customWidth="1"/>
    <col min="13830" max="13830" width="9.140625" style="128" customWidth="1"/>
    <col min="13831" max="14077" width="9.140625" style="128"/>
    <col min="14078" max="14078" width="8" style="128" customWidth="1"/>
    <col min="14079" max="14079" width="8.7109375" style="128" customWidth="1"/>
    <col min="14080" max="14080" width="14.5703125" style="128" customWidth="1"/>
    <col min="14081" max="14081" width="19.5703125" style="128" customWidth="1"/>
    <col min="14082" max="14082" width="30.7109375" style="128" customWidth="1"/>
    <col min="14083" max="14083" width="27.7109375" style="128" customWidth="1"/>
    <col min="14084" max="14084" width="11.5703125" style="128" customWidth="1"/>
    <col min="14085" max="14085" width="11.7109375" style="128" customWidth="1"/>
    <col min="14086" max="14086" width="9.140625" style="128" customWidth="1"/>
    <col min="14087" max="14333" width="9.140625" style="128"/>
    <col min="14334" max="14334" width="8" style="128" customWidth="1"/>
    <col min="14335" max="14335" width="8.7109375" style="128" customWidth="1"/>
    <col min="14336" max="14336" width="14.5703125" style="128" customWidth="1"/>
    <col min="14337" max="14337" width="19.5703125" style="128" customWidth="1"/>
    <col min="14338" max="14338" width="30.7109375" style="128" customWidth="1"/>
    <col min="14339" max="14339" width="27.7109375" style="128" customWidth="1"/>
    <col min="14340" max="14340" width="11.5703125" style="128" customWidth="1"/>
    <col min="14341" max="14341" width="11.7109375" style="128" customWidth="1"/>
    <col min="14342" max="14342" width="9.140625" style="128" customWidth="1"/>
    <col min="14343" max="14589" width="9.140625" style="128"/>
    <col min="14590" max="14590" width="8" style="128" customWidth="1"/>
    <col min="14591" max="14591" width="8.7109375" style="128" customWidth="1"/>
    <col min="14592" max="14592" width="14.5703125" style="128" customWidth="1"/>
    <col min="14593" max="14593" width="19.5703125" style="128" customWidth="1"/>
    <col min="14594" max="14594" width="30.7109375" style="128" customWidth="1"/>
    <col min="14595" max="14595" width="27.7109375" style="128" customWidth="1"/>
    <col min="14596" max="14596" width="11.5703125" style="128" customWidth="1"/>
    <col min="14597" max="14597" width="11.7109375" style="128" customWidth="1"/>
    <col min="14598" max="14598" width="9.140625" style="128" customWidth="1"/>
    <col min="14599" max="14845" width="9.140625" style="128"/>
    <col min="14846" max="14846" width="8" style="128" customWidth="1"/>
    <col min="14847" max="14847" width="8.7109375" style="128" customWidth="1"/>
    <col min="14848" max="14848" width="14.5703125" style="128" customWidth="1"/>
    <col min="14849" max="14849" width="19.5703125" style="128" customWidth="1"/>
    <col min="14850" max="14850" width="30.7109375" style="128" customWidth="1"/>
    <col min="14851" max="14851" width="27.7109375" style="128" customWidth="1"/>
    <col min="14852" max="14852" width="11.5703125" style="128" customWidth="1"/>
    <col min="14853" max="14853" width="11.7109375" style="128" customWidth="1"/>
    <col min="14854" max="14854" width="9.140625" style="128" customWidth="1"/>
    <col min="14855" max="15101" width="9.140625" style="128"/>
    <col min="15102" max="15102" width="8" style="128" customWidth="1"/>
    <col min="15103" max="15103" width="8.7109375" style="128" customWidth="1"/>
    <col min="15104" max="15104" width="14.5703125" style="128" customWidth="1"/>
    <col min="15105" max="15105" width="19.5703125" style="128" customWidth="1"/>
    <col min="15106" max="15106" width="30.7109375" style="128" customWidth="1"/>
    <col min="15107" max="15107" width="27.7109375" style="128" customWidth="1"/>
    <col min="15108" max="15108" width="11.5703125" style="128" customWidth="1"/>
    <col min="15109" max="15109" width="11.7109375" style="128" customWidth="1"/>
    <col min="15110" max="15110" width="9.140625" style="128" customWidth="1"/>
    <col min="15111" max="15357" width="9.140625" style="128"/>
    <col min="15358" max="15358" width="8" style="128" customWidth="1"/>
    <col min="15359" max="15359" width="8.7109375" style="128" customWidth="1"/>
    <col min="15360" max="15360" width="14.5703125" style="128" customWidth="1"/>
    <col min="15361" max="15361" width="19.5703125" style="128" customWidth="1"/>
    <col min="15362" max="15362" width="30.7109375" style="128" customWidth="1"/>
    <col min="15363" max="15363" width="27.7109375" style="128" customWidth="1"/>
    <col min="15364" max="15364" width="11.5703125" style="128" customWidth="1"/>
    <col min="15365" max="15365" width="11.7109375" style="128" customWidth="1"/>
    <col min="15366" max="15366" width="9.140625" style="128" customWidth="1"/>
    <col min="15367" max="15613" width="9.140625" style="128"/>
    <col min="15614" max="15614" width="8" style="128" customWidth="1"/>
    <col min="15615" max="15615" width="8.7109375" style="128" customWidth="1"/>
    <col min="15616" max="15616" width="14.5703125" style="128" customWidth="1"/>
    <col min="15617" max="15617" width="19.5703125" style="128" customWidth="1"/>
    <col min="15618" max="15618" width="30.7109375" style="128" customWidth="1"/>
    <col min="15619" max="15619" width="27.7109375" style="128" customWidth="1"/>
    <col min="15620" max="15620" width="11.5703125" style="128" customWidth="1"/>
    <col min="15621" max="15621" width="11.7109375" style="128" customWidth="1"/>
    <col min="15622" max="15622" width="9.140625" style="128" customWidth="1"/>
    <col min="15623" max="15869" width="9.140625" style="128"/>
    <col min="15870" max="15870" width="8" style="128" customWidth="1"/>
    <col min="15871" max="15871" width="8.7109375" style="128" customWidth="1"/>
    <col min="15872" max="15872" width="14.5703125" style="128" customWidth="1"/>
    <col min="15873" max="15873" width="19.5703125" style="128" customWidth="1"/>
    <col min="15874" max="15874" width="30.7109375" style="128" customWidth="1"/>
    <col min="15875" max="15875" width="27.7109375" style="128" customWidth="1"/>
    <col min="15876" max="15876" width="11.5703125" style="128" customWidth="1"/>
    <col min="15877" max="15877" width="11.7109375" style="128" customWidth="1"/>
    <col min="15878" max="15878" width="9.140625" style="128" customWidth="1"/>
    <col min="15879" max="16125" width="9.140625" style="128"/>
    <col min="16126" max="16126" width="8" style="128" customWidth="1"/>
    <col min="16127" max="16127" width="8.7109375" style="128" customWidth="1"/>
    <col min="16128" max="16128" width="14.5703125" style="128" customWidth="1"/>
    <col min="16129" max="16129" width="19.5703125" style="128" customWidth="1"/>
    <col min="16130" max="16130" width="30.7109375" style="128" customWidth="1"/>
    <col min="16131" max="16131" width="27.7109375" style="128" customWidth="1"/>
    <col min="16132" max="16132" width="11.5703125" style="128" customWidth="1"/>
    <col min="16133" max="16133" width="11.7109375" style="128" customWidth="1"/>
    <col min="16134" max="16134" width="9.140625" style="128" customWidth="1"/>
    <col min="16135" max="16380" width="9.140625" style="128"/>
    <col min="16381" max="16384" width="6.42578125" style="128" customWidth="1"/>
  </cols>
  <sheetData>
    <row r="1" spans="2:8" ht="34.5" customHeight="1" x14ac:dyDescent="0.25">
      <c r="B1" s="3788" t="s">
        <v>2996</v>
      </c>
      <c r="C1" s="3789"/>
      <c r="D1" s="3789"/>
      <c r="E1" s="3789"/>
      <c r="F1" s="3789"/>
      <c r="G1" s="3789"/>
      <c r="H1" s="3790"/>
    </row>
    <row r="2" spans="2:8" ht="17.25" customHeight="1" x14ac:dyDescent="0.25">
      <c r="B2" s="948"/>
      <c r="C2" s="949"/>
      <c r="D2" s="949"/>
      <c r="E2" s="949"/>
      <c r="F2" s="949"/>
      <c r="G2" s="949"/>
      <c r="H2" s="949"/>
    </row>
    <row r="3" spans="2:8" ht="39" customHeight="1" x14ac:dyDescent="0.25">
      <c r="B3" s="3776" t="s">
        <v>2274</v>
      </c>
      <c r="C3" s="3776" t="s">
        <v>401</v>
      </c>
      <c r="D3" s="3776"/>
      <c r="E3" s="2420" t="s">
        <v>1151</v>
      </c>
      <c r="F3" s="2420" t="s">
        <v>1154</v>
      </c>
      <c r="G3" s="2420" t="s">
        <v>1902</v>
      </c>
      <c r="H3" s="2420" t="s">
        <v>1903</v>
      </c>
    </row>
    <row r="4" spans="2:8" ht="21" customHeight="1" x14ac:dyDescent="0.25">
      <c r="B4" s="3776"/>
      <c r="C4" s="3776"/>
      <c r="D4" s="3776"/>
      <c r="E4" s="3791" t="s">
        <v>1904</v>
      </c>
      <c r="F4" s="3792"/>
      <c r="G4" s="3714" t="s">
        <v>1880</v>
      </c>
      <c r="H4" s="3716"/>
    </row>
    <row r="5" spans="2:8" x14ac:dyDescent="0.25">
      <c r="B5" s="938">
        <v>1</v>
      </c>
      <c r="C5" s="3793" t="s">
        <v>1490</v>
      </c>
      <c r="D5" s="3794"/>
      <c r="E5" s="1972">
        <v>0.01</v>
      </c>
      <c r="F5" s="1972">
        <v>0.01</v>
      </c>
      <c r="G5" s="3795">
        <v>0.05</v>
      </c>
      <c r="H5" s="3795">
        <v>0.05</v>
      </c>
    </row>
    <row r="6" spans="2:8" ht="38.25" x14ac:dyDescent="0.25">
      <c r="B6" s="939">
        <v>2</v>
      </c>
      <c r="C6" s="3786" t="s">
        <v>221</v>
      </c>
      <c r="D6" s="3787"/>
      <c r="E6" s="1973" t="s">
        <v>1905</v>
      </c>
      <c r="F6" s="1973" t="s">
        <v>1906</v>
      </c>
      <c r="G6" s="3795"/>
      <c r="H6" s="3795"/>
    </row>
    <row r="7" spans="2:8" x14ac:dyDescent="0.25">
      <c r="B7" s="939">
        <v>3</v>
      </c>
      <c r="C7" s="3786" t="s">
        <v>220</v>
      </c>
      <c r="D7" s="3787"/>
      <c r="E7" s="1974">
        <v>0.14499999999999999</v>
      </c>
      <c r="F7" s="1974">
        <v>7.0000000000000007E-2</v>
      </c>
      <c r="G7" s="3795"/>
      <c r="H7" s="3795"/>
    </row>
    <row r="8" spans="2:8" ht="51" x14ac:dyDescent="0.25">
      <c r="B8" s="939">
        <v>4</v>
      </c>
      <c r="C8" s="3786" t="s">
        <v>331</v>
      </c>
      <c r="D8" s="3787"/>
      <c r="E8" s="1973" t="s">
        <v>2275</v>
      </c>
      <c r="F8" s="1973" t="s">
        <v>1907</v>
      </c>
      <c r="G8" s="3795"/>
      <c r="H8" s="3795"/>
    </row>
    <row r="9" spans="2:8" ht="38.25" x14ac:dyDescent="0.25">
      <c r="B9" s="939">
        <v>5</v>
      </c>
      <c r="C9" s="3786" t="s">
        <v>426</v>
      </c>
      <c r="D9" s="3787"/>
      <c r="E9" s="1974" t="s">
        <v>1908</v>
      </c>
      <c r="F9" s="1974" t="s">
        <v>1909</v>
      </c>
      <c r="G9" s="3795"/>
      <c r="H9" s="3795"/>
    </row>
    <row r="10" spans="2:8" ht="25.5" x14ac:dyDescent="0.25">
      <c r="B10" s="939">
        <v>6</v>
      </c>
      <c r="C10" s="3786" t="s">
        <v>1484</v>
      </c>
      <c r="D10" s="3787"/>
      <c r="E10" s="1973" t="s">
        <v>1910</v>
      </c>
      <c r="F10" s="1973" t="s">
        <v>1911</v>
      </c>
      <c r="G10" s="3795"/>
      <c r="H10" s="3795"/>
    </row>
    <row r="11" spans="2:8" x14ac:dyDescent="0.25">
      <c r="B11" s="939">
        <v>7</v>
      </c>
      <c r="C11" s="3786" t="s">
        <v>452</v>
      </c>
      <c r="D11" s="3787"/>
      <c r="E11" s="1973" t="s">
        <v>2900</v>
      </c>
      <c r="F11" s="1973" t="s">
        <v>1912</v>
      </c>
      <c r="G11" s="3795"/>
      <c r="H11" s="3795"/>
    </row>
    <row r="12" spans="2:8" ht="29.25" customHeight="1" x14ac:dyDescent="0.25">
      <c r="B12" s="939">
        <v>8</v>
      </c>
      <c r="C12" s="3786" t="s">
        <v>1498</v>
      </c>
      <c r="D12" s="3787"/>
      <c r="E12" s="1973" t="s">
        <v>1913</v>
      </c>
      <c r="F12" s="1973" t="s">
        <v>1914</v>
      </c>
      <c r="G12" s="3795"/>
      <c r="H12" s="3795"/>
    </row>
    <row r="13" spans="2:8" ht="25.5" x14ac:dyDescent="0.25">
      <c r="B13" s="939">
        <v>9</v>
      </c>
      <c r="C13" s="3786" t="s">
        <v>1485</v>
      </c>
      <c r="D13" s="3787"/>
      <c r="E13" s="1973" t="s">
        <v>1915</v>
      </c>
      <c r="F13" s="1973" t="s">
        <v>1916</v>
      </c>
      <c r="G13" s="3795"/>
      <c r="H13" s="3795"/>
    </row>
    <row r="14" spans="2:8" x14ac:dyDescent="0.25">
      <c r="B14" s="939">
        <v>10</v>
      </c>
      <c r="C14" s="3786" t="s">
        <v>466</v>
      </c>
      <c r="D14" s="3787"/>
      <c r="E14" s="1973" t="s">
        <v>1917</v>
      </c>
      <c r="F14" s="1974" t="s">
        <v>1918</v>
      </c>
      <c r="G14" s="3795"/>
      <c r="H14" s="3795"/>
    </row>
    <row r="15" spans="2:8" ht="25.5" x14ac:dyDescent="0.25">
      <c r="B15" s="939">
        <v>11</v>
      </c>
      <c r="C15" s="3786" t="s">
        <v>822</v>
      </c>
      <c r="D15" s="3787"/>
      <c r="E15" s="1973" t="s">
        <v>1919</v>
      </c>
      <c r="F15" s="1973" t="s">
        <v>1920</v>
      </c>
      <c r="G15" s="3795"/>
      <c r="H15" s="3795"/>
    </row>
    <row r="16" spans="2:8" ht="38.25" x14ac:dyDescent="0.25">
      <c r="B16" s="939">
        <v>12</v>
      </c>
      <c r="C16" s="3786" t="s">
        <v>507</v>
      </c>
      <c r="D16" s="3787"/>
      <c r="E16" s="1973" t="s">
        <v>1921</v>
      </c>
      <c r="F16" s="1973" t="s">
        <v>1922</v>
      </c>
      <c r="G16" s="3795"/>
      <c r="H16" s="3795"/>
    </row>
    <row r="17" spans="2:8" ht="25.5" x14ac:dyDescent="0.25">
      <c r="B17" s="939">
        <v>13</v>
      </c>
      <c r="C17" s="3786" t="s">
        <v>538</v>
      </c>
      <c r="D17" s="3787"/>
      <c r="E17" s="1973" t="s">
        <v>1923</v>
      </c>
      <c r="F17" s="1973" t="s">
        <v>1924</v>
      </c>
      <c r="G17" s="3795"/>
      <c r="H17" s="3795"/>
    </row>
    <row r="18" spans="2:8" ht="25.5" x14ac:dyDescent="0.25">
      <c r="B18" s="939">
        <v>14</v>
      </c>
      <c r="C18" s="3786" t="s">
        <v>1521</v>
      </c>
      <c r="D18" s="3787"/>
      <c r="E18" s="1973" t="s">
        <v>2331</v>
      </c>
      <c r="F18" s="1973" t="s">
        <v>2878</v>
      </c>
      <c r="G18" s="3795"/>
      <c r="H18" s="3795"/>
    </row>
    <row r="19" spans="2:8" ht="38.25" x14ac:dyDescent="0.25">
      <c r="B19" s="939">
        <v>15</v>
      </c>
      <c r="C19" s="3786" t="s">
        <v>541</v>
      </c>
      <c r="D19" s="3787"/>
      <c r="E19" s="1975" t="s">
        <v>1925</v>
      </c>
      <c r="F19" s="1975" t="s">
        <v>1926</v>
      </c>
      <c r="G19" s="3795"/>
      <c r="H19" s="3795"/>
    </row>
    <row r="20" spans="2:8" x14ac:dyDescent="0.25">
      <c r="B20" s="939">
        <v>16</v>
      </c>
      <c r="C20" s="3786" t="s">
        <v>550</v>
      </c>
      <c r="D20" s="3787"/>
      <c r="E20" s="1973" t="s">
        <v>1927</v>
      </c>
      <c r="F20" s="1973" t="s">
        <v>2332</v>
      </c>
      <c r="G20" s="3795"/>
      <c r="H20" s="3795"/>
    </row>
    <row r="21" spans="2:8" ht="38.25" x14ac:dyDescent="0.25">
      <c r="B21" s="939">
        <v>17</v>
      </c>
      <c r="C21" s="3786" t="s">
        <v>568</v>
      </c>
      <c r="D21" s="3787"/>
      <c r="E21" s="1973" t="s">
        <v>1928</v>
      </c>
      <c r="F21" s="1973" t="s">
        <v>1929</v>
      </c>
      <c r="G21" s="3795"/>
      <c r="H21" s="3795"/>
    </row>
    <row r="22" spans="2:8" ht="25.5" x14ac:dyDescent="0.25">
      <c r="B22" s="939">
        <v>18</v>
      </c>
      <c r="C22" s="3786" t="s">
        <v>1488</v>
      </c>
      <c r="D22" s="3787"/>
      <c r="E22" s="1973" t="s">
        <v>1930</v>
      </c>
      <c r="F22" s="1973" t="s">
        <v>1931</v>
      </c>
      <c r="G22" s="3795"/>
      <c r="H22" s="3795"/>
    </row>
    <row r="23" spans="2:8" x14ac:dyDescent="0.25">
      <c r="B23" s="939">
        <v>19</v>
      </c>
      <c r="C23" s="3786" t="s">
        <v>1500</v>
      </c>
      <c r="D23" s="3787"/>
      <c r="E23" s="1973" t="s">
        <v>1932</v>
      </c>
      <c r="F23" s="1973" t="s">
        <v>1932</v>
      </c>
      <c r="G23" s="3795"/>
      <c r="H23" s="3795"/>
    </row>
    <row r="24" spans="2:8" ht="25.5" x14ac:dyDescent="0.25">
      <c r="B24" s="939">
        <v>20</v>
      </c>
      <c r="C24" s="3786" t="s">
        <v>578</v>
      </c>
      <c r="D24" s="3787"/>
      <c r="E24" s="1973" t="s">
        <v>1933</v>
      </c>
      <c r="F24" s="1973" t="s">
        <v>1934</v>
      </c>
      <c r="G24" s="3795"/>
      <c r="H24" s="3795"/>
    </row>
    <row r="25" spans="2:8" ht="27" customHeight="1" x14ac:dyDescent="0.25">
      <c r="B25" s="939">
        <v>21</v>
      </c>
      <c r="C25" s="3797" t="s">
        <v>3019</v>
      </c>
      <c r="D25" s="3798"/>
      <c r="E25" s="1973" t="s">
        <v>1935</v>
      </c>
      <c r="F25" s="1973" t="s">
        <v>1936</v>
      </c>
      <c r="G25" s="3795"/>
      <c r="H25" s="3795"/>
    </row>
    <row r="26" spans="2:8" x14ac:dyDescent="0.25">
      <c r="B26" s="939">
        <v>22</v>
      </c>
      <c r="C26" s="3786" t="s">
        <v>1937</v>
      </c>
      <c r="D26" s="3787"/>
      <c r="E26" s="1973" t="s">
        <v>1935</v>
      </c>
      <c r="F26" s="1973" t="s">
        <v>1936</v>
      </c>
      <c r="G26" s="3795"/>
      <c r="H26" s="3795"/>
    </row>
    <row r="27" spans="2:8" x14ac:dyDescent="0.25">
      <c r="B27" s="939">
        <v>23</v>
      </c>
      <c r="C27" s="3786" t="s">
        <v>1492</v>
      </c>
      <c r="D27" s="3787"/>
      <c r="E27" s="1973" t="s">
        <v>1938</v>
      </c>
      <c r="F27" s="1973" t="s">
        <v>1914</v>
      </c>
      <c r="G27" s="3795"/>
      <c r="H27" s="3795"/>
    </row>
    <row r="28" spans="2:8" ht="38.25" x14ac:dyDescent="0.25">
      <c r="B28" s="939">
        <v>24</v>
      </c>
      <c r="C28" s="3786" t="s">
        <v>1493</v>
      </c>
      <c r="D28" s="3787"/>
      <c r="E28" s="1973" t="s">
        <v>1939</v>
      </c>
      <c r="F28" s="1973" t="s">
        <v>2276</v>
      </c>
      <c r="G28" s="3795"/>
      <c r="H28" s="3795"/>
    </row>
    <row r="29" spans="2:8" ht="38.25" x14ac:dyDescent="0.25">
      <c r="B29" s="939">
        <v>25</v>
      </c>
      <c r="C29" s="3786" t="s">
        <v>1494</v>
      </c>
      <c r="D29" s="3787"/>
      <c r="E29" s="1973" t="s">
        <v>1940</v>
      </c>
      <c r="F29" s="1973" t="s">
        <v>1941</v>
      </c>
      <c r="G29" s="3795"/>
      <c r="H29" s="3795"/>
    </row>
    <row r="30" spans="2:8" ht="25.5" x14ac:dyDescent="0.25">
      <c r="B30" s="939">
        <v>26</v>
      </c>
      <c r="C30" s="3786" t="s">
        <v>1495</v>
      </c>
      <c r="D30" s="3787"/>
      <c r="E30" s="1973" t="s">
        <v>1942</v>
      </c>
      <c r="F30" s="1973" t="s">
        <v>1943</v>
      </c>
      <c r="G30" s="3795"/>
      <c r="H30" s="3795"/>
    </row>
    <row r="31" spans="2:8" x14ac:dyDescent="0.25">
      <c r="B31" s="939">
        <v>27</v>
      </c>
      <c r="C31" s="3786" t="s">
        <v>631</v>
      </c>
      <c r="D31" s="3787"/>
      <c r="E31" s="1973" t="s">
        <v>1944</v>
      </c>
      <c r="F31" s="1976" t="s">
        <v>1945</v>
      </c>
      <c r="G31" s="3795"/>
      <c r="H31" s="3795"/>
    </row>
    <row r="32" spans="2:8" x14ac:dyDescent="0.25">
      <c r="B32" s="939">
        <v>28</v>
      </c>
      <c r="C32" s="3786" t="s">
        <v>851</v>
      </c>
      <c r="D32" s="3787"/>
      <c r="E32" s="1973" t="s">
        <v>2879</v>
      </c>
      <c r="F32" s="1976" t="s">
        <v>2880</v>
      </c>
      <c r="G32" s="3795"/>
      <c r="H32" s="3795"/>
    </row>
    <row r="33" spans="2:9" ht="76.5" x14ac:dyDescent="0.25">
      <c r="B33" s="939">
        <v>29</v>
      </c>
      <c r="C33" s="3786" t="s">
        <v>645</v>
      </c>
      <c r="D33" s="3787"/>
      <c r="E33" s="1973" t="s">
        <v>1946</v>
      </c>
      <c r="F33" s="1973" t="s">
        <v>1947</v>
      </c>
      <c r="G33" s="3795"/>
      <c r="H33" s="3795"/>
    </row>
    <row r="34" spans="2:9" ht="25.5" x14ac:dyDescent="0.25">
      <c r="B34" s="939">
        <v>30</v>
      </c>
      <c r="C34" s="3786" t="s">
        <v>223</v>
      </c>
      <c r="D34" s="3787"/>
      <c r="E34" s="1973" t="s">
        <v>1948</v>
      </c>
      <c r="F34" s="1973" t="s">
        <v>1949</v>
      </c>
      <c r="G34" s="3795"/>
      <c r="H34" s="3795"/>
    </row>
    <row r="35" spans="2:9" x14ac:dyDescent="0.25">
      <c r="B35" s="939">
        <v>31</v>
      </c>
      <c r="C35" s="3786" t="s">
        <v>1496</v>
      </c>
      <c r="D35" s="3787"/>
      <c r="E35" s="1973" t="s">
        <v>2881</v>
      </c>
      <c r="F35" s="1973" t="s">
        <v>2497</v>
      </c>
      <c r="G35" s="3795"/>
      <c r="H35" s="3795"/>
    </row>
    <row r="36" spans="2:9" x14ac:dyDescent="0.25">
      <c r="B36" s="939">
        <v>32</v>
      </c>
      <c r="C36" s="3786" t="s">
        <v>224</v>
      </c>
      <c r="D36" s="3787"/>
      <c r="E36" s="1975" t="s">
        <v>1950</v>
      </c>
      <c r="F36" s="1975" t="s">
        <v>1951</v>
      </c>
      <c r="G36" s="3795"/>
      <c r="H36" s="3795"/>
    </row>
    <row r="37" spans="2:9" x14ac:dyDescent="0.25">
      <c r="B37" s="939">
        <v>33</v>
      </c>
      <c r="C37" s="3786" t="s">
        <v>691</v>
      </c>
      <c r="D37" s="3787"/>
      <c r="E37" s="1975" t="s">
        <v>1952</v>
      </c>
      <c r="F37" s="1975" t="s">
        <v>1953</v>
      </c>
      <c r="G37" s="3795"/>
      <c r="H37" s="3795"/>
    </row>
    <row r="38" spans="2:9" ht="25.5" x14ac:dyDescent="0.25">
      <c r="B38" s="939">
        <v>34</v>
      </c>
      <c r="C38" s="3786" t="s">
        <v>390</v>
      </c>
      <c r="D38" s="3787"/>
      <c r="E38" s="1973" t="s">
        <v>1954</v>
      </c>
      <c r="F38" s="1973" t="s">
        <v>1955</v>
      </c>
      <c r="G38" s="3795"/>
      <c r="H38" s="3795"/>
    </row>
    <row r="39" spans="2:9" ht="25.5" x14ac:dyDescent="0.25">
      <c r="B39" s="939">
        <v>35</v>
      </c>
      <c r="C39" s="3786" t="s">
        <v>709</v>
      </c>
      <c r="D39" s="3787"/>
      <c r="E39" s="1974" t="s">
        <v>1956</v>
      </c>
      <c r="F39" s="1974" t="s">
        <v>1957</v>
      </c>
      <c r="G39" s="3795"/>
      <c r="H39" s="3795"/>
    </row>
    <row r="40" spans="2:9" ht="25.5" x14ac:dyDescent="0.25">
      <c r="B40" s="939">
        <v>36</v>
      </c>
      <c r="C40" s="3786" t="s">
        <v>757</v>
      </c>
      <c r="D40" s="3787"/>
      <c r="E40" s="1973" t="s">
        <v>1958</v>
      </c>
      <c r="F40" s="1974" t="s">
        <v>1959</v>
      </c>
      <c r="G40" s="3795"/>
      <c r="H40" s="3795"/>
    </row>
    <row r="41" spans="2:9" s="950" customFormat="1" ht="51" x14ac:dyDescent="0.25">
      <c r="B41" s="939">
        <v>37</v>
      </c>
      <c r="C41" s="3799" t="s">
        <v>225</v>
      </c>
      <c r="D41" s="3799"/>
      <c r="E41" s="1975" t="s">
        <v>1960</v>
      </c>
      <c r="F41" s="1975" t="s">
        <v>1961</v>
      </c>
      <c r="G41" s="3796"/>
      <c r="H41" s="3796"/>
      <c r="I41" s="128"/>
    </row>
    <row r="42" spans="2:9" s="950" customFormat="1" x14ac:dyDescent="0.25">
      <c r="B42" s="3800" t="s">
        <v>2333</v>
      </c>
      <c r="C42" s="3800"/>
      <c r="D42" s="3800"/>
    </row>
    <row r="43" spans="2:9" s="950" customFormat="1" x14ac:dyDescent="0.25">
      <c r="B43" s="3800" t="s">
        <v>945</v>
      </c>
      <c r="C43" s="3800"/>
      <c r="D43" s="3800"/>
    </row>
    <row r="44" spans="2:9" s="950" customFormat="1" ht="30.75" customHeight="1" x14ac:dyDescent="0.25">
      <c r="B44" s="3726" t="s">
        <v>1962</v>
      </c>
      <c r="C44" s="3726"/>
      <c r="D44" s="3726"/>
      <c r="E44" s="3726"/>
      <c r="F44" s="3726"/>
      <c r="G44" s="3726"/>
      <c r="H44" s="3726"/>
    </row>
    <row r="45" spans="2:9" s="950" customFormat="1" ht="25.5" customHeight="1" x14ac:dyDescent="0.25">
      <c r="B45" s="3726"/>
      <c r="C45" s="3726"/>
      <c r="D45" s="3726"/>
      <c r="E45" s="3726"/>
      <c r="F45" s="3726"/>
      <c r="G45" s="3726"/>
      <c r="H45" s="3726"/>
    </row>
    <row r="46" spans="2:9" s="950" customFormat="1" ht="24" hidden="1" customHeight="1" x14ac:dyDescent="0.25">
      <c r="B46" s="3726"/>
      <c r="C46" s="3726"/>
      <c r="D46" s="3726"/>
      <c r="E46" s="3726"/>
      <c r="F46" s="3726"/>
      <c r="G46" s="3726"/>
      <c r="H46" s="3726"/>
    </row>
    <row r="47" spans="2:9" s="950" customFormat="1" hidden="1" x14ac:dyDescent="0.25">
      <c r="B47" s="3726"/>
      <c r="C47" s="3726"/>
      <c r="D47" s="3726"/>
      <c r="E47" s="3726"/>
      <c r="F47" s="3726"/>
      <c r="G47" s="3726"/>
      <c r="H47" s="3726"/>
    </row>
    <row r="48" spans="2:9" ht="27.75" hidden="1" customHeight="1" x14ac:dyDescent="0.25">
      <c r="B48" s="838"/>
      <c r="C48" s="950"/>
      <c r="D48" s="950"/>
      <c r="E48" s="950"/>
      <c r="F48" s="950"/>
      <c r="G48" s="950"/>
    </row>
    <row r="49" spans="2:7" s="950" customFormat="1" hidden="1" x14ac:dyDescent="0.25">
      <c r="B49" s="838"/>
    </row>
    <row r="50" spans="2:7" s="950" customFormat="1" hidden="1" x14ac:dyDescent="0.25">
      <c r="B50" s="838"/>
    </row>
    <row r="51" spans="2:7" s="950" customFormat="1" hidden="1" x14ac:dyDescent="0.25">
      <c r="B51" s="220"/>
      <c r="C51" s="128"/>
      <c r="D51" s="128"/>
      <c r="E51" s="128"/>
      <c r="F51" s="128"/>
      <c r="G51" s="128"/>
    </row>
    <row r="61" spans="2:7" ht="15.95" customHeight="1" x14ac:dyDescent="0.25"/>
    <row r="68" x14ac:dyDescent="0.25"/>
  </sheetData>
  <mergeCells count="50">
    <mergeCell ref="B44:H44"/>
    <mergeCell ref="B45:H45"/>
    <mergeCell ref="B46:H46"/>
    <mergeCell ref="B47:H47"/>
    <mergeCell ref="C38:D38"/>
    <mergeCell ref="C39:D39"/>
    <mergeCell ref="C40:D40"/>
    <mergeCell ref="C41:D41"/>
    <mergeCell ref="B42:D42"/>
    <mergeCell ref="B43:D43"/>
    <mergeCell ref="C37:D37"/>
    <mergeCell ref="C26:D26"/>
    <mergeCell ref="C27:D27"/>
    <mergeCell ref="C28:D28"/>
    <mergeCell ref="C29:D29"/>
    <mergeCell ref="C30:D30"/>
    <mergeCell ref="C31:D31"/>
    <mergeCell ref="C32:D32"/>
    <mergeCell ref="C33:D33"/>
    <mergeCell ref="C34:D34"/>
    <mergeCell ref="C35:D35"/>
    <mergeCell ref="C36:D36"/>
    <mergeCell ref="C25:D25"/>
    <mergeCell ref="C14:D14"/>
    <mergeCell ref="C15:D15"/>
    <mergeCell ref="C16:D16"/>
    <mergeCell ref="C17:D17"/>
    <mergeCell ref="C18:D18"/>
    <mergeCell ref="C19:D19"/>
    <mergeCell ref="C20:D20"/>
    <mergeCell ref="C21:D21"/>
    <mergeCell ref="C22:D22"/>
    <mergeCell ref="C23:D23"/>
    <mergeCell ref="C24:D24"/>
    <mergeCell ref="C13:D13"/>
    <mergeCell ref="B1:H1"/>
    <mergeCell ref="B3:B4"/>
    <mergeCell ref="C3:D4"/>
    <mergeCell ref="E4:F4"/>
    <mergeCell ref="G4:H4"/>
    <mergeCell ref="C5:D5"/>
    <mergeCell ref="G5:G41"/>
    <mergeCell ref="H5:H41"/>
    <mergeCell ref="C6:D6"/>
    <mergeCell ref="C7:D7"/>
    <mergeCell ref="C8:D8"/>
    <mergeCell ref="C9:D9"/>
    <mergeCell ref="C10:D10"/>
    <mergeCell ref="C11:D11"/>
    <mergeCell ref="C12:D12"/>
  </mergeCells>
  <pageMargins left="0.7" right="0.7" top="0.75" bottom="0.75" header="0.3" footer="0.3"/>
  <pageSetup scale="56" orientation="portrait" r:id="rId1"/>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E922F7-2E97-42F9-8127-3AB9ED1D05D4}">
  <sheetPr>
    <tabColor theme="0"/>
    <pageSetUpPr fitToPage="1"/>
  </sheetPr>
  <dimension ref="B1:O41"/>
  <sheetViews>
    <sheetView showGridLines="0" view="pageBreakPreview" topLeftCell="A32" zoomScaleNormal="100" zoomScaleSheetLayoutView="100" workbookViewId="0">
      <selection activeCell="B81" sqref="B81"/>
    </sheetView>
  </sheetViews>
  <sheetFormatPr defaultColWidth="9.140625" defaultRowHeight="15" x14ac:dyDescent="0.25"/>
  <cols>
    <col min="1" max="1" width="1.42578125" style="128" customWidth="1"/>
    <col min="2" max="2" width="10.140625" style="128" customWidth="1"/>
    <col min="3" max="3" width="40" style="128" customWidth="1"/>
    <col min="4" max="5" width="10.5703125" style="220" hidden="1" customWidth="1"/>
    <col min="6" max="6" width="9.5703125" style="220" hidden="1" customWidth="1"/>
    <col min="7" max="10" width="9.5703125" style="220" bestFit="1" customWidth="1"/>
    <col min="11" max="11" width="11.140625" style="220" customWidth="1"/>
    <col min="12" max="16384" width="9.140625" style="128"/>
  </cols>
  <sheetData>
    <row r="1" spans="2:15" ht="23.25" customHeight="1" x14ac:dyDescent="0.25">
      <c r="B1" s="3802" t="s">
        <v>1963</v>
      </c>
      <c r="C1" s="3803"/>
      <c r="D1" s="3803"/>
      <c r="E1" s="3803"/>
      <c r="F1" s="3803"/>
      <c r="G1" s="3803"/>
      <c r="H1" s="3803"/>
      <c r="I1" s="3803"/>
      <c r="J1" s="3803"/>
      <c r="K1" s="3804"/>
    </row>
    <row r="2" spans="2:15" x14ac:dyDescent="0.25">
      <c r="B2" s="3805" t="s">
        <v>1964</v>
      </c>
      <c r="C2" s="3805"/>
      <c r="D2" s="3805"/>
      <c r="E2" s="3805"/>
      <c r="F2" s="3805"/>
      <c r="G2" s="3805"/>
      <c r="H2" s="3805"/>
      <c r="I2" s="3805"/>
      <c r="J2" s="3805"/>
      <c r="K2" s="3805"/>
    </row>
    <row r="3" spans="2:15" x14ac:dyDescent="0.25">
      <c r="B3" s="3806" t="s">
        <v>4</v>
      </c>
      <c r="C3" s="3807"/>
      <c r="D3" s="1977" t="s">
        <v>7</v>
      </c>
      <c r="E3" s="1977" t="s">
        <v>8</v>
      </c>
      <c r="F3" s="1977" t="s">
        <v>9</v>
      </c>
      <c r="G3" s="1977" t="s">
        <v>77</v>
      </c>
      <c r="H3" s="1977" t="s">
        <v>11</v>
      </c>
      <c r="I3" s="1977" t="s">
        <v>382</v>
      </c>
      <c r="J3" s="1977" t="s">
        <v>2309</v>
      </c>
      <c r="K3" s="1977" t="s">
        <v>2663</v>
      </c>
    </row>
    <row r="4" spans="2:15" x14ac:dyDescent="0.25">
      <c r="B4" s="3808" t="s">
        <v>1965</v>
      </c>
      <c r="C4" s="3808"/>
      <c r="D4" s="3808"/>
      <c r="E4" s="3808"/>
      <c r="F4" s="3808"/>
      <c r="G4" s="3808"/>
      <c r="H4" s="3808"/>
      <c r="I4" s="3808"/>
      <c r="J4" s="3808"/>
      <c r="K4" s="3808"/>
    </row>
    <row r="5" spans="2:15" ht="30" customHeight="1" x14ac:dyDescent="0.25">
      <c r="B5" s="1978" t="s">
        <v>1966</v>
      </c>
      <c r="C5" s="3809" t="s">
        <v>1967</v>
      </c>
      <c r="D5" s="3809"/>
      <c r="E5" s="3809"/>
      <c r="F5" s="3809"/>
      <c r="G5" s="3809"/>
      <c r="H5" s="3809"/>
      <c r="I5" s="3809"/>
      <c r="J5" s="3809"/>
      <c r="K5" s="3809"/>
    </row>
    <row r="6" spans="2:15" x14ac:dyDescent="0.25">
      <c r="B6" s="1979"/>
      <c r="C6" s="1980" t="s">
        <v>1968</v>
      </c>
      <c r="D6" s="1981">
        <v>17740.830000000002</v>
      </c>
      <c r="E6" s="1982">
        <v>14788.62</v>
      </c>
      <c r="F6" s="1983">
        <v>10676.31</v>
      </c>
      <c r="G6" s="1983">
        <v>19213.620000000003</v>
      </c>
      <c r="H6" s="1983">
        <v>21444.67</v>
      </c>
      <c r="I6" s="1983">
        <v>19580.39</v>
      </c>
      <c r="J6" s="1983">
        <v>18559.11</v>
      </c>
      <c r="K6" s="1983">
        <v>17744.219999999998</v>
      </c>
      <c r="N6" s="839"/>
      <c r="O6" s="219"/>
    </row>
    <row r="7" spans="2:15" x14ac:dyDescent="0.25">
      <c r="B7" s="1979"/>
      <c r="C7" s="1980" t="s">
        <v>1969</v>
      </c>
      <c r="D7" s="1981">
        <v>6061.88</v>
      </c>
      <c r="E7" s="1982">
        <v>5602.02</v>
      </c>
      <c r="F7" s="1983">
        <v>3589.8300000000004</v>
      </c>
      <c r="G7" s="1983">
        <v>5638.7199999999993</v>
      </c>
      <c r="H7" s="1983">
        <v>9821.91</v>
      </c>
      <c r="I7" s="1983">
        <v>9286.2000000000007</v>
      </c>
      <c r="J7" s="1983">
        <v>9195.23</v>
      </c>
      <c r="K7" s="1983">
        <v>8214.32</v>
      </c>
    </row>
    <row r="8" spans="2:15" x14ac:dyDescent="0.25">
      <c r="B8" s="1979"/>
      <c r="C8" s="1980" t="s">
        <v>1777</v>
      </c>
      <c r="D8" s="1981">
        <v>16035.330000000002</v>
      </c>
      <c r="E8" s="1982">
        <v>22927.17</v>
      </c>
      <c r="F8" s="1983">
        <v>13514.170000000002</v>
      </c>
      <c r="G8" s="1983">
        <v>11423.440000000002</v>
      </c>
      <c r="H8" s="1983">
        <v>14985.269999999997</v>
      </c>
      <c r="I8" s="1983">
        <v>13133.73</v>
      </c>
      <c r="J8" s="1983">
        <v>15488.869999999999</v>
      </c>
      <c r="K8" s="1983">
        <v>15091.359999999999</v>
      </c>
    </row>
    <row r="9" spans="2:15" x14ac:dyDescent="0.25">
      <c r="B9" s="1979"/>
      <c r="C9" s="1980" t="s">
        <v>1970</v>
      </c>
      <c r="D9" s="1981">
        <v>1180</v>
      </c>
      <c r="E9" s="1982">
        <v>1130.22</v>
      </c>
      <c r="F9" s="1983">
        <v>1016.4299999999998</v>
      </c>
      <c r="G9" s="1983">
        <v>1120.94</v>
      </c>
      <c r="H9" s="1983">
        <v>1192.3999999999999</v>
      </c>
      <c r="I9" s="1983">
        <v>1190.9199999999998</v>
      </c>
      <c r="J9" s="1983">
        <v>1196.5999999999999</v>
      </c>
      <c r="K9" s="1983">
        <v>1205.2300000000002</v>
      </c>
    </row>
    <row r="10" spans="2:15" x14ac:dyDescent="0.25">
      <c r="B10" s="1979"/>
      <c r="C10" s="1980" t="s">
        <v>1778</v>
      </c>
      <c r="D10" s="1981">
        <v>214369.39999999997</v>
      </c>
      <c r="E10" s="1982">
        <v>223057.32999999996</v>
      </c>
      <c r="F10" s="1983">
        <v>372969.95999999996</v>
      </c>
      <c r="G10" s="1983">
        <v>363305.01</v>
      </c>
      <c r="H10" s="1983">
        <v>287575.34000000003</v>
      </c>
      <c r="I10" s="1983">
        <v>273683.88</v>
      </c>
      <c r="J10" s="1983">
        <v>276562.84999999998</v>
      </c>
      <c r="K10" s="1983">
        <v>308381.31</v>
      </c>
    </row>
    <row r="11" spans="2:15" hidden="1" x14ac:dyDescent="0.25">
      <c r="B11" s="1979"/>
      <c r="C11" s="1980" t="s">
        <v>1971</v>
      </c>
      <c r="D11" s="1981">
        <v>339.73</v>
      </c>
      <c r="E11" s="1982">
        <v>16.88</v>
      </c>
      <c r="F11" s="1983">
        <v>0.25</v>
      </c>
      <c r="G11" s="1983">
        <v>0</v>
      </c>
      <c r="H11" s="1983">
        <v>0</v>
      </c>
      <c r="I11" s="1983">
        <v>0</v>
      </c>
      <c r="J11" s="1983">
        <v>0</v>
      </c>
      <c r="K11" s="1983">
        <v>0</v>
      </c>
    </row>
    <row r="12" spans="2:15" x14ac:dyDescent="0.25">
      <c r="B12" s="1979"/>
      <c r="C12" s="1980" t="s">
        <v>1972</v>
      </c>
      <c r="D12" s="1981">
        <v>16478.77</v>
      </c>
      <c r="E12" s="1982">
        <v>13098.619999999999</v>
      </c>
      <c r="F12" s="1983">
        <v>11594.12</v>
      </c>
      <c r="G12" s="1983">
        <v>19726.27</v>
      </c>
      <c r="H12" s="1983">
        <v>22235.79</v>
      </c>
      <c r="I12" s="1983">
        <v>20929.699999999997</v>
      </c>
      <c r="J12" s="1983">
        <v>19251.519999999997</v>
      </c>
      <c r="K12" s="1983">
        <v>20310.02</v>
      </c>
    </row>
    <row r="13" spans="2:15" x14ac:dyDescent="0.25">
      <c r="B13" s="1979"/>
      <c r="C13" s="1980" t="s">
        <v>1973</v>
      </c>
      <c r="D13" s="1981">
        <v>7436.86</v>
      </c>
      <c r="E13" s="1982">
        <v>6831.11</v>
      </c>
      <c r="F13" s="1983">
        <v>6157.66</v>
      </c>
      <c r="G13" s="1983">
        <v>10843.269999999999</v>
      </c>
      <c r="H13" s="1983">
        <v>13011.64</v>
      </c>
      <c r="I13" s="1983">
        <v>12230.120000000003</v>
      </c>
      <c r="J13" s="1983">
        <v>10862.770000000002</v>
      </c>
      <c r="K13" s="1983">
        <v>11695.399999999998</v>
      </c>
    </row>
    <row r="14" spans="2:15" x14ac:dyDescent="0.25">
      <c r="B14" s="1979"/>
      <c r="C14" s="1980" t="s">
        <v>148</v>
      </c>
      <c r="D14" s="1981">
        <v>203.87</v>
      </c>
      <c r="E14" s="1982">
        <v>88.3</v>
      </c>
      <c r="F14" s="1983">
        <v>365.23</v>
      </c>
      <c r="G14" s="1983">
        <v>337.63</v>
      </c>
      <c r="H14" s="1983">
        <v>59.449999999999996</v>
      </c>
      <c r="I14" s="1983">
        <v>51.5</v>
      </c>
      <c r="J14" s="1983">
        <f>45.88+20.1</f>
        <v>65.98</v>
      </c>
      <c r="K14" s="1983">
        <f>85+19.5</f>
        <v>104.5</v>
      </c>
    </row>
    <row r="15" spans="2:15" x14ac:dyDescent="0.25">
      <c r="B15" s="2422"/>
      <c r="C15" s="2423" t="s">
        <v>1974</v>
      </c>
      <c r="D15" s="2424">
        <f t="shared" ref="D15:K15" si="0">SUM(D6:D14)</f>
        <v>279846.67</v>
      </c>
      <c r="E15" s="2425">
        <f t="shared" si="0"/>
        <v>287540.26999999996</v>
      </c>
      <c r="F15" s="2426">
        <f t="shared" si="0"/>
        <v>419883.9599999999</v>
      </c>
      <c r="G15" s="2426">
        <f>SUM(G6:G14)</f>
        <v>431608.90000000008</v>
      </c>
      <c r="H15" s="2426">
        <f>SUM(H6:H14)</f>
        <v>370326.47000000003</v>
      </c>
      <c r="I15" s="2426">
        <f>SUM(I6:I14)</f>
        <v>350086.44</v>
      </c>
      <c r="J15" s="2426">
        <f>SUM(J6:J14)</f>
        <v>351182.93</v>
      </c>
      <c r="K15" s="2426">
        <f t="shared" si="0"/>
        <v>382746.36000000004</v>
      </c>
    </row>
    <row r="16" spans="2:15" ht="30" customHeight="1" x14ac:dyDescent="0.25">
      <c r="B16" s="2422" t="s">
        <v>1975</v>
      </c>
      <c r="C16" s="3810" t="s">
        <v>1976</v>
      </c>
      <c r="D16" s="3811"/>
      <c r="E16" s="3812"/>
      <c r="F16" s="3812"/>
      <c r="G16" s="3812"/>
      <c r="H16" s="3812"/>
      <c r="I16" s="3812"/>
      <c r="J16" s="3812"/>
      <c r="K16" s="3813"/>
    </row>
    <row r="17" spans="2:14" x14ac:dyDescent="0.25">
      <c r="B17" s="1984"/>
      <c r="C17" s="1980" t="s">
        <v>1977</v>
      </c>
      <c r="D17" s="1981">
        <v>38560.649999999994</v>
      </c>
      <c r="E17" s="1982">
        <v>23133.559999999994</v>
      </c>
      <c r="F17" s="1983">
        <v>21908.929999999997</v>
      </c>
      <c r="G17" s="1983">
        <v>29219.329999999998</v>
      </c>
      <c r="H17" s="1983">
        <v>33291.83</v>
      </c>
      <c r="I17" s="1983">
        <v>57493.299999999996</v>
      </c>
      <c r="J17" s="1983">
        <f>46246-20.1</f>
        <v>46225.9</v>
      </c>
      <c r="K17" s="1983">
        <v>59595.43</v>
      </c>
    </row>
    <row r="18" spans="2:14" x14ac:dyDescent="0.25">
      <c r="B18" s="1984"/>
      <c r="C18" s="1980" t="s">
        <v>1978</v>
      </c>
      <c r="D18" s="1981">
        <v>15524.879999999997</v>
      </c>
      <c r="E18" s="1982">
        <v>12270.070000000002</v>
      </c>
      <c r="F18" s="1983">
        <v>10392.669999999998</v>
      </c>
      <c r="G18" s="1983">
        <v>22612.21</v>
      </c>
      <c r="H18" s="1983">
        <v>15672.700000000003</v>
      </c>
      <c r="I18" s="1983">
        <v>19309.669999999998</v>
      </c>
      <c r="J18" s="1983">
        <v>22095.4</v>
      </c>
      <c r="K18" s="1983">
        <v>25713.73</v>
      </c>
    </row>
    <row r="19" spans="2:14" ht="20.25" customHeight="1" x14ac:dyDescent="0.25">
      <c r="B19" s="1984"/>
      <c r="C19" s="1980" t="s">
        <v>1979</v>
      </c>
      <c r="D19" s="1981">
        <v>7693.6100000000006</v>
      </c>
      <c r="E19" s="1982">
        <v>5909.07</v>
      </c>
      <c r="F19" s="1983">
        <v>2883.4700000000003</v>
      </c>
      <c r="G19" s="1983">
        <v>8862.09</v>
      </c>
      <c r="H19" s="1983">
        <v>8776.1200000000008</v>
      </c>
      <c r="I19" s="1983">
        <v>5504.68</v>
      </c>
      <c r="J19" s="1983">
        <v>5322.3600000000006</v>
      </c>
      <c r="K19" s="1983">
        <v>7683.4</v>
      </c>
    </row>
    <row r="20" spans="2:14" x14ac:dyDescent="0.25">
      <c r="B20" s="1984"/>
      <c r="C20" s="2423" t="s">
        <v>1980</v>
      </c>
      <c r="D20" s="2424">
        <f t="shared" ref="D20:K20" si="1">SUM(D17:D19)</f>
        <v>61779.139999999992</v>
      </c>
      <c r="E20" s="2425">
        <f t="shared" si="1"/>
        <v>41312.699999999997</v>
      </c>
      <c r="F20" s="2426">
        <f t="shared" si="1"/>
        <v>35185.069999999992</v>
      </c>
      <c r="G20" s="2426">
        <f t="shared" si="1"/>
        <v>60693.62999999999</v>
      </c>
      <c r="H20" s="2426">
        <f t="shared" si="1"/>
        <v>57740.650000000009</v>
      </c>
      <c r="I20" s="2426">
        <f t="shared" si="1"/>
        <v>82307.649999999994</v>
      </c>
      <c r="J20" s="2426">
        <f>SUM(J17:J19)</f>
        <v>73643.66</v>
      </c>
      <c r="K20" s="2426">
        <f t="shared" si="1"/>
        <v>92992.56</v>
      </c>
    </row>
    <row r="21" spans="2:14" ht="28.5" customHeight="1" x14ac:dyDescent="0.25">
      <c r="B21" s="3810" t="s">
        <v>1981</v>
      </c>
      <c r="C21" s="3814"/>
      <c r="D21" s="2424">
        <f t="shared" ref="D21:K21" si="2">+D15+D20</f>
        <v>341625.81</v>
      </c>
      <c r="E21" s="2425">
        <f t="shared" si="2"/>
        <v>328852.96999999997</v>
      </c>
      <c r="F21" s="2426">
        <f t="shared" si="2"/>
        <v>455069.02999999991</v>
      </c>
      <c r="G21" s="2426">
        <f t="shared" si="2"/>
        <v>492302.53000000009</v>
      </c>
      <c r="H21" s="2426">
        <f t="shared" si="2"/>
        <v>428067.12000000005</v>
      </c>
      <c r="I21" s="2426">
        <f t="shared" si="2"/>
        <v>432394.08999999997</v>
      </c>
      <c r="J21" s="2426">
        <f>+J15+J20</f>
        <v>424826.58999999997</v>
      </c>
      <c r="K21" s="2426">
        <f t="shared" si="2"/>
        <v>475738.92000000004</v>
      </c>
      <c r="N21" s="940"/>
    </row>
    <row r="22" spans="2:14" x14ac:dyDescent="0.25">
      <c r="B22" s="3815" t="s">
        <v>1982</v>
      </c>
      <c r="C22" s="3816"/>
      <c r="D22" s="3816"/>
      <c r="E22" s="3817"/>
      <c r="F22" s="3817"/>
      <c r="G22" s="3817"/>
      <c r="H22" s="3817"/>
      <c r="I22" s="3817"/>
      <c r="J22" s="3817"/>
      <c r="K22" s="3818"/>
    </row>
    <row r="23" spans="2:14" ht="30" customHeight="1" x14ac:dyDescent="0.25">
      <c r="B23" s="2427" t="s">
        <v>1983</v>
      </c>
      <c r="C23" s="3810" t="s">
        <v>1967</v>
      </c>
      <c r="D23" s="3811"/>
      <c r="E23" s="3812"/>
      <c r="F23" s="3812"/>
      <c r="G23" s="3812"/>
      <c r="H23" s="3812"/>
      <c r="I23" s="3812"/>
      <c r="J23" s="3812"/>
      <c r="K23" s="3813"/>
    </row>
    <row r="24" spans="2:14" x14ac:dyDescent="0.25">
      <c r="B24" s="1984"/>
      <c r="C24" s="1980" t="s">
        <v>1969</v>
      </c>
      <c r="D24" s="1981">
        <v>13370.630000000001</v>
      </c>
      <c r="E24" s="1982">
        <v>11881.619999999999</v>
      </c>
      <c r="F24" s="1983">
        <v>7178.61</v>
      </c>
      <c r="G24" s="1983">
        <v>13525.53</v>
      </c>
      <c r="H24" s="1983">
        <v>17914.25</v>
      </c>
      <c r="I24" s="1983">
        <v>12529.499999999998</v>
      </c>
      <c r="J24" s="1983">
        <v>11603.28</v>
      </c>
      <c r="K24" s="1983">
        <v>9721.64</v>
      </c>
    </row>
    <row r="25" spans="2:14" x14ac:dyDescent="0.25">
      <c r="B25" s="1984"/>
      <c r="C25" s="1985" t="s">
        <v>1984</v>
      </c>
      <c r="D25" s="1981">
        <v>201264.8</v>
      </c>
      <c r="E25" s="1982">
        <v>200492.71000000002</v>
      </c>
      <c r="F25" s="1983">
        <v>202937.08000000002</v>
      </c>
      <c r="G25" s="1983">
        <v>256247.94999999998</v>
      </c>
      <c r="H25" s="1983">
        <v>288086.19</v>
      </c>
      <c r="I25" s="1983">
        <v>292716.41000000003</v>
      </c>
      <c r="J25" s="1983">
        <v>309096.65999999997</v>
      </c>
      <c r="K25" s="1983">
        <v>318225.54999999981</v>
      </c>
    </row>
    <row r="26" spans="2:14" x14ac:dyDescent="0.25">
      <c r="B26" s="1984"/>
      <c r="C26" s="1985" t="s">
        <v>1985</v>
      </c>
      <c r="D26" s="1981">
        <v>7961.41</v>
      </c>
      <c r="E26" s="1982">
        <v>7345.33</v>
      </c>
      <c r="F26" s="1983">
        <v>6120.9</v>
      </c>
      <c r="G26" s="1983">
        <v>11016.880000000001</v>
      </c>
      <c r="H26" s="1983">
        <v>13187.61</v>
      </c>
      <c r="I26" s="1983">
        <v>12288.560000000001</v>
      </c>
      <c r="J26" s="1983">
        <v>11001.820000000003</v>
      </c>
      <c r="K26" s="1983">
        <v>11810.990000000002</v>
      </c>
    </row>
    <row r="27" spans="2:14" x14ac:dyDescent="0.25">
      <c r="B27" s="1984"/>
      <c r="C27" s="1985" t="s">
        <v>1986</v>
      </c>
      <c r="D27" s="1981">
        <v>685.17</v>
      </c>
      <c r="E27" s="1982">
        <v>715.94</v>
      </c>
      <c r="F27" s="1983">
        <v>705.89</v>
      </c>
      <c r="G27" s="1983">
        <v>826.81</v>
      </c>
      <c r="H27" s="1983">
        <v>829.84999999999991</v>
      </c>
      <c r="I27" s="1983">
        <v>687.31</v>
      </c>
      <c r="J27" s="1983">
        <v>620</v>
      </c>
      <c r="K27" s="1983">
        <v>884.41000000000008</v>
      </c>
    </row>
    <row r="28" spans="2:14" x14ac:dyDescent="0.25">
      <c r="B28" s="1984"/>
      <c r="C28" s="1985" t="s">
        <v>1987</v>
      </c>
      <c r="D28" s="1981">
        <v>4114.24</v>
      </c>
      <c r="E28" s="1982">
        <v>405.1</v>
      </c>
      <c r="F28" s="1983">
        <v>328.7</v>
      </c>
      <c r="G28" s="1983">
        <v>354.48</v>
      </c>
      <c r="H28" s="1983">
        <v>293</v>
      </c>
      <c r="I28" s="1983">
        <v>301.46999999999997</v>
      </c>
      <c r="J28" s="1983">
        <v>940.14</v>
      </c>
      <c r="K28" s="1983">
        <v>870.67</v>
      </c>
    </row>
    <row r="29" spans="2:14" x14ac:dyDescent="0.25">
      <c r="B29" s="1984"/>
      <c r="C29" s="2423" t="s">
        <v>1988</v>
      </c>
      <c r="D29" s="2424">
        <f t="shared" ref="D29:K29" si="3">SUM(D24:D28)</f>
        <v>227396.25</v>
      </c>
      <c r="E29" s="2425">
        <f t="shared" si="3"/>
        <v>220840.7</v>
      </c>
      <c r="F29" s="2426">
        <f t="shared" si="3"/>
        <v>217271.18000000002</v>
      </c>
      <c r="G29" s="2426">
        <f t="shared" si="3"/>
        <v>281971.64999999997</v>
      </c>
      <c r="H29" s="2426">
        <f t="shared" si="3"/>
        <v>320310.89999999997</v>
      </c>
      <c r="I29" s="2426">
        <f t="shared" si="3"/>
        <v>318523.25</v>
      </c>
      <c r="J29" s="2426">
        <f>SUM(J24:J28)</f>
        <v>333261.90000000002</v>
      </c>
      <c r="K29" s="2426">
        <f t="shared" si="3"/>
        <v>341513.25999999978</v>
      </c>
    </row>
    <row r="30" spans="2:14" ht="30" customHeight="1" x14ac:dyDescent="0.25">
      <c r="B30" s="2428" t="s">
        <v>1989</v>
      </c>
      <c r="C30" s="3819" t="s">
        <v>1990</v>
      </c>
      <c r="D30" s="3819"/>
      <c r="E30" s="3820"/>
      <c r="F30" s="3820"/>
      <c r="G30" s="3821"/>
      <c r="H30" s="3821"/>
      <c r="I30" s="3821"/>
      <c r="J30" s="3821"/>
      <c r="K30" s="3822"/>
    </row>
    <row r="31" spans="2:14" x14ac:dyDescent="0.25">
      <c r="B31" s="1984"/>
      <c r="C31" s="1986" t="s">
        <v>1991</v>
      </c>
      <c r="D31" s="1987">
        <v>194.53</v>
      </c>
      <c r="E31" s="1988">
        <v>214.88</v>
      </c>
      <c r="F31" s="1989">
        <v>378.54999999999995</v>
      </c>
      <c r="G31" s="1989">
        <v>150.84</v>
      </c>
      <c r="H31" s="1989">
        <v>340.23999999999995</v>
      </c>
      <c r="I31" s="1989">
        <v>238.54</v>
      </c>
      <c r="J31" s="1989">
        <v>134.88999999999999</v>
      </c>
      <c r="K31" s="1989">
        <v>307.77999999999997</v>
      </c>
    </row>
    <row r="32" spans="2:14" x14ac:dyDescent="0.25">
      <c r="B32" s="1984"/>
      <c r="C32" s="2423" t="s">
        <v>1992</v>
      </c>
      <c r="D32" s="2424">
        <f t="shared" ref="D32:K32" si="4">+D31</f>
        <v>194.53</v>
      </c>
      <c r="E32" s="2425">
        <f t="shared" si="4"/>
        <v>214.88</v>
      </c>
      <c r="F32" s="2426">
        <f t="shared" si="4"/>
        <v>378.54999999999995</v>
      </c>
      <c r="G32" s="2426">
        <f t="shared" si="4"/>
        <v>150.84</v>
      </c>
      <c r="H32" s="2426">
        <f t="shared" si="4"/>
        <v>340.23999999999995</v>
      </c>
      <c r="I32" s="2426">
        <f t="shared" si="4"/>
        <v>238.54</v>
      </c>
      <c r="J32" s="2426">
        <f>+J31</f>
        <v>134.88999999999999</v>
      </c>
      <c r="K32" s="2426">
        <f t="shared" si="4"/>
        <v>307.77999999999997</v>
      </c>
    </row>
    <row r="33" spans="2:14" ht="29.25" customHeight="1" x14ac:dyDescent="0.25">
      <c r="B33" s="3810" t="s">
        <v>1993</v>
      </c>
      <c r="C33" s="3814"/>
      <c r="D33" s="2424">
        <f t="shared" ref="D33:K33" si="5">+D29+D32</f>
        <v>227590.78</v>
      </c>
      <c r="E33" s="2425">
        <f t="shared" si="5"/>
        <v>221055.58000000002</v>
      </c>
      <c r="F33" s="2426">
        <f t="shared" si="5"/>
        <v>217649.73</v>
      </c>
      <c r="G33" s="2426">
        <f t="shared" si="5"/>
        <v>282122.49</v>
      </c>
      <c r="H33" s="2426">
        <f t="shared" si="5"/>
        <v>320651.13999999996</v>
      </c>
      <c r="I33" s="2426">
        <f t="shared" si="5"/>
        <v>318761.78999999998</v>
      </c>
      <c r="J33" s="2426">
        <f>+J29+J32</f>
        <v>333396.79000000004</v>
      </c>
      <c r="K33" s="2426">
        <f t="shared" si="5"/>
        <v>341821.0399999998</v>
      </c>
      <c r="N33" s="940"/>
    </row>
    <row r="34" spans="2:14" ht="30" customHeight="1" x14ac:dyDescent="0.25">
      <c r="B34" s="3801" t="s">
        <v>1994</v>
      </c>
      <c r="C34" s="3801"/>
      <c r="D34" s="2429">
        <f t="shared" ref="D34:K34" si="6">+D21+D33</f>
        <v>569216.59</v>
      </c>
      <c r="E34" s="2430">
        <f t="shared" si="6"/>
        <v>549908.55000000005</v>
      </c>
      <c r="F34" s="2431">
        <f t="shared" si="6"/>
        <v>672718.75999999989</v>
      </c>
      <c r="G34" s="2431">
        <f t="shared" si="6"/>
        <v>774425.02</v>
      </c>
      <c r="H34" s="2431">
        <f t="shared" si="6"/>
        <v>748718.26</v>
      </c>
      <c r="I34" s="2431">
        <f t="shared" si="6"/>
        <v>751155.87999999989</v>
      </c>
      <c r="J34" s="2431">
        <f>+J21+J33</f>
        <v>758223.38</v>
      </c>
      <c r="K34" s="2431">
        <f t="shared" si="6"/>
        <v>817559.95999999985</v>
      </c>
      <c r="N34" s="940"/>
    </row>
    <row r="35" spans="2:14" x14ac:dyDescent="0.25">
      <c r="B35" s="1990" t="s">
        <v>2882</v>
      </c>
      <c r="C35" s="1950"/>
      <c r="D35" s="1991"/>
      <c r="E35" s="1991"/>
      <c r="F35" s="1991"/>
      <c r="G35" s="1991"/>
      <c r="H35" s="1991"/>
      <c r="I35" s="1991"/>
      <c r="J35" s="1991"/>
      <c r="K35" s="1992"/>
    </row>
    <row r="36" spans="2:14" x14ac:dyDescent="0.25">
      <c r="B36" s="941" t="s">
        <v>1995</v>
      </c>
      <c r="K36" s="1993"/>
    </row>
    <row r="37" spans="2:14" x14ac:dyDescent="0.25">
      <c r="B37" s="1994" t="s">
        <v>1996</v>
      </c>
      <c r="C37" s="1995"/>
      <c r="D37" s="838"/>
      <c r="E37" s="838"/>
      <c r="F37" s="838"/>
      <c r="G37" s="838"/>
      <c r="H37" s="838"/>
      <c r="I37" s="838"/>
      <c r="J37" s="838"/>
      <c r="K37" s="840"/>
    </row>
    <row r="38" spans="2:14" x14ac:dyDescent="0.25">
      <c r="B38" s="1996" t="s">
        <v>2399</v>
      </c>
      <c r="C38" s="1954"/>
      <c r="D38" s="1997"/>
      <c r="E38" s="1997"/>
      <c r="F38" s="1997"/>
      <c r="G38" s="1997"/>
      <c r="H38" s="1997"/>
      <c r="I38" s="1997"/>
      <c r="J38" s="1997"/>
      <c r="K38" s="1955"/>
    </row>
    <row r="40" spans="2:14" x14ac:dyDescent="0.25">
      <c r="B40" s="839"/>
    </row>
    <row r="41" spans="2:14" x14ac:dyDescent="0.25">
      <c r="K41" s="1998"/>
    </row>
  </sheetData>
  <mergeCells count="12">
    <mergeCell ref="B34:C34"/>
    <mergeCell ref="B1:K1"/>
    <mergeCell ref="B2:K2"/>
    <mergeCell ref="B3:C3"/>
    <mergeCell ref="B4:K4"/>
    <mergeCell ref="C5:K5"/>
    <mergeCell ref="C16:K16"/>
    <mergeCell ref="B21:C21"/>
    <mergeCell ref="B22:K22"/>
    <mergeCell ref="C23:K23"/>
    <mergeCell ref="C30:K30"/>
    <mergeCell ref="B33:C33"/>
  </mergeCells>
  <pageMargins left="0.7" right="0.7" top="0.75" bottom="0.75" header="0.3" footer="0.3"/>
  <pageSetup paperSize="9" scale="86" orientation="portrait" r:id="rId1"/>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20D50E-21BF-4E78-8D88-2F364C016060}">
  <sheetPr>
    <tabColor theme="0"/>
    <pageSetUpPr fitToPage="1"/>
  </sheetPr>
  <dimension ref="B1:M45"/>
  <sheetViews>
    <sheetView showGridLines="0" view="pageBreakPreview" topLeftCell="A30" zoomScaleNormal="100" zoomScaleSheetLayoutView="100" workbookViewId="0">
      <selection activeCell="B81" sqref="B81"/>
    </sheetView>
  </sheetViews>
  <sheetFormatPr defaultColWidth="9.140625" defaultRowHeight="15" x14ac:dyDescent="0.25"/>
  <cols>
    <col min="1" max="1" width="1" style="128" customWidth="1"/>
    <col min="2" max="2" width="8.42578125" style="128" customWidth="1"/>
    <col min="3" max="3" width="37.85546875" style="128" customWidth="1"/>
    <col min="4" max="5" width="9.85546875" style="220" hidden="1" customWidth="1"/>
    <col min="6" max="6" width="9.5703125" style="220" hidden="1" customWidth="1"/>
    <col min="7" max="10" width="9.5703125" style="220" bestFit="1" customWidth="1"/>
    <col min="11" max="11" width="11.5703125" style="220" customWidth="1"/>
    <col min="12" max="16384" width="9.140625" style="128"/>
  </cols>
  <sheetData>
    <row r="1" spans="2:13" ht="24.75" customHeight="1" x14ac:dyDescent="0.25">
      <c r="B1" s="3823" t="s">
        <v>1997</v>
      </c>
      <c r="C1" s="3824"/>
      <c r="D1" s="3824"/>
      <c r="E1" s="3824"/>
      <c r="F1" s="3824"/>
      <c r="G1" s="3824"/>
      <c r="H1" s="3824"/>
      <c r="I1" s="3824"/>
      <c r="J1" s="3824"/>
      <c r="K1" s="3825"/>
    </row>
    <row r="2" spans="2:13" x14ac:dyDescent="0.25">
      <c r="B2" s="3826" t="s">
        <v>1998</v>
      </c>
      <c r="C2" s="3826"/>
      <c r="D2" s="3826"/>
      <c r="E2" s="3826"/>
      <c r="F2" s="3826"/>
      <c r="G2" s="3826"/>
      <c r="H2" s="3826"/>
      <c r="I2" s="3826"/>
      <c r="J2" s="3826"/>
      <c r="K2" s="3826"/>
    </row>
    <row r="3" spans="2:13" x14ac:dyDescent="0.25">
      <c r="B3" s="2432" t="s">
        <v>3</v>
      </c>
      <c r="C3" s="2432" t="s">
        <v>1999</v>
      </c>
      <c r="D3" s="2433" t="s">
        <v>7</v>
      </c>
      <c r="E3" s="2433" t="s">
        <v>8</v>
      </c>
      <c r="F3" s="2433" t="s">
        <v>9</v>
      </c>
      <c r="G3" s="2434" t="s">
        <v>77</v>
      </c>
      <c r="H3" s="2434" t="s">
        <v>11</v>
      </c>
      <c r="I3" s="2435" t="s">
        <v>382</v>
      </c>
      <c r="J3" s="2435" t="s">
        <v>2309</v>
      </c>
      <c r="K3" s="2435" t="s">
        <v>2479</v>
      </c>
    </row>
    <row r="4" spans="2:13" x14ac:dyDescent="0.25">
      <c r="B4" s="951">
        <v>1</v>
      </c>
      <c r="C4" s="952" t="s">
        <v>1490</v>
      </c>
      <c r="D4" s="2436">
        <v>92.45</v>
      </c>
      <c r="E4" s="1999">
        <v>93.89</v>
      </c>
      <c r="F4" s="2000">
        <v>73.56</v>
      </c>
      <c r="G4" s="2155">
        <v>80.319999999999993</v>
      </c>
      <c r="H4" s="2155">
        <v>63.23</v>
      </c>
      <c r="I4" s="2155">
        <v>55.32</v>
      </c>
      <c r="J4" s="2155">
        <v>61.77</v>
      </c>
      <c r="K4" s="2155">
        <v>59.77</v>
      </c>
      <c r="M4" s="841"/>
    </row>
    <row r="5" spans="2:13" x14ac:dyDescent="0.25">
      <c r="B5" s="951">
        <v>2</v>
      </c>
      <c r="C5" s="953" t="s">
        <v>221</v>
      </c>
      <c r="D5" s="2436">
        <v>10784.199999999999</v>
      </c>
      <c r="E5" s="1999">
        <v>10167.609999999999</v>
      </c>
      <c r="F5" s="2000">
        <v>11013.529999999999</v>
      </c>
      <c r="G5" s="2155">
        <v>14724.230000000001</v>
      </c>
      <c r="H5" s="2155">
        <v>16428.559999999998</v>
      </c>
      <c r="I5" s="2155">
        <v>16688.04</v>
      </c>
      <c r="J5" s="2155">
        <v>15986.61</v>
      </c>
      <c r="K5" s="2155">
        <v>16303.920000000002</v>
      </c>
      <c r="M5" s="841"/>
    </row>
    <row r="6" spans="2:13" x14ac:dyDescent="0.25">
      <c r="B6" s="951">
        <v>3</v>
      </c>
      <c r="C6" s="953" t="s">
        <v>220</v>
      </c>
      <c r="D6" s="2436">
        <v>48.910000000000004</v>
      </c>
      <c r="E6" s="1999">
        <v>26.44</v>
      </c>
      <c r="F6" s="2000">
        <v>104.19</v>
      </c>
      <c r="G6" s="2155">
        <v>135.91</v>
      </c>
      <c r="H6" s="2155">
        <v>158.05000000000001</v>
      </c>
      <c r="I6" s="2155">
        <v>176.72</v>
      </c>
      <c r="J6" s="2155">
        <v>209.97</v>
      </c>
      <c r="K6" s="2155">
        <v>196.77</v>
      </c>
      <c r="M6" s="841"/>
    </row>
    <row r="7" spans="2:13" x14ac:dyDescent="0.25">
      <c r="B7" s="951">
        <v>4</v>
      </c>
      <c r="C7" s="953" t="s">
        <v>331</v>
      </c>
      <c r="D7" s="2436">
        <v>3878.8999999999996</v>
      </c>
      <c r="E7" s="1999">
        <v>3640.99</v>
      </c>
      <c r="F7" s="2000">
        <v>3747.1000000000004</v>
      </c>
      <c r="G7" s="2155">
        <v>3901.2099999999996</v>
      </c>
      <c r="H7" s="2155">
        <v>5073.0700000000006</v>
      </c>
      <c r="I7" s="2155">
        <v>5669.5300000000007</v>
      </c>
      <c r="J7" s="2155">
        <v>6118.47</v>
      </c>
      <c r="K7" s="2155">
        <v>6276.5800000000008</v>
      </c>
      <c r="M7" s="841"/>
    </row>
    <row r="8" spans="2:13" x14ac:dyDescent="0.25">
      <c r="B8" s="951">
        <v>5</v>
      </c>
      <c r="C8" s="953" t="s">
        <v>426</v>
      </c>
      <c r="D8" s="2436">
        <v>6584.23</v>
      </c>
      <c r="E8" s="1999">
        <v>6238.1399999999994</v>
      </c>
      <c r="F8" s="2000">
        <v>5854.079999999999</v>
      </c>
      <c r="G8" s="2155">
        <v>6866.920000000001</v>
      </c>
      <c r="H8" s="2155">
        <v>9848.44</v>
      </c>
      <c r="I8" s="2155">
        <v>9359.9100000000017</v>
      </c>
      <c r="J8" s="2155">
        <v>10275.59</v>
      </c>
      <c r="K8" s="2155">
        <v>9350.15</v>
      </c>
      <c r="M8" s="841"/>
    </row>
    <row r="9" spans="2:13" x14ac:dyDescent="0.25">
      <c r="B9" s="951">
        <v>6</v>
      </c>
      <c r="C9" s="953" t="s">
        <v>1484</v>
      </c>
      <c r="D9" s="2436">
        <v>61.83</v>
      </c>
      <c r="E9" s="1999">
        <v>60.07</v>
      </c>
      <c r="F9" s="2000">
        <v>60.08</v>
      </c>
      <c r="G9" s="2155">
        <v>86.759999999999991</v>
      </c>
      <c r="H9" s="2155">
        <v>99.41</v>
      </c>
      <c r="I9" s="2155">
        <v>97.240000000000009</v>
      </c>
      <c r="J9" s="2155">
        <v>88.59</v>
      </c>
      <c r="K9" s="2155">
        <v>91.62</v>
      </c>
      <c r="M9" s="841"/>
    </row>
    <row r="10" spans="2:13" x14ac:dyDescent="0.25">
      <c r="B10" s="951">
        <v>7</v>
      </c>
      <c r="C10" s="953" t="s">
        <v>452</v>
      </c>
      <c r="D10" s="2436">
        <v>3986.3599999999997</v>
      </c>
      <c r="E10" s="1999">
        <v>3876.88</v>
      </c>
      <c r="F10" s="2000">
        <v>4107.1100000000006</v>
      </c>
      <c r="G10" s="2155">
        <v>5178.1100000000006</v>
      </c>
      <c r="H10" s="2155">
        <v>6163.91</v>
      </c>
      <c r="I10" s="2155">
        <v>6383.0999999999995</v>
      </c>
      <c r="J10" s="2155">
        <v>6810.84</v>
      </c>
      <c r="K10" s="2155">
        <v>7058.17</v>
      </c>
      <c r="M10" s="841"/>
    </row>
    <row r="11" spans="2:13" ht="18.75" customHeight="1" x14ac:dyDescent="0.25">
      <c r="B11" s="951" t="s">
        <v>2883</v>
      </c>
      <c r="C11" s="952" t="s">
        <v>1840</v>
      </c>
      <c r="D11" s="2436">
        <v>1.79</v>
      </c>
      <c r="E11" s="1999">
        <v>1.59</v>
      </c>
      <c r="F11" s="2000">
        <v>1.27</v>
      </c>
      <c r="G11" s="2155">
        <v>1.66</v>
      </c>
      <c r="H11" s="2155">
        <v>0.53</v>
      </c>
      <c r="I11" s="2155">
        <v>0.57000000000000006</v>
      </c>
      <c r="J11" s="2155">
        <v>14.42</v>
      </c>
      <c r="K11" s="2155">
        <v>17.43</v>
      </c>
      <c r="M11" s="841"/>
    </row>
    <row r="12" spans="2:13" x14ac:dyDescent="0.25">
      <c r="B12" s="951">
        <v>10</v>
      </c>
      <c r="C12" s="953" t="s">
        <v>1485</v>
      </c>
      <c r="D12" s="2436">
        <v>4378.6900000000005</v>
      </c>
      <c r="E12" s="1999">
        <v>3832.77</v>
      </c>
      <c r="F12" s="2000">
        <v>2652.58</v>
      </c>
      <c r="G12" s="2155">
        <v>3658.7</v>
      </c>
      <c r="H12" s="2155">
        <v>4398.1099999999997</v>
      </c>
      <c r="I12" s="2155">
        <v>4002.1299999999997</v>
      </c>
      <c r="J12" s="2155">
        <v>4690.21</v>
      </c>
      <c r="K12" s="2155">
        <v>4332.43</v>
      </c>
      <c r="M12" s="841"/>
    </row>
    <row r="13" spans="2:13" x14ac:dyDescent="0.25">
      <c r="B13" s="951">
        <v>11</v>
      </c>
      <c r="C13" s="953" t="s">
        <v>466</v>
      </c>
      <c r="D13" s="2436">
        <v>694.43000000000006</v>
      </c>
      <c r="E13" s="1999">
        <v>753.56</v>
      </c>
      <c r="F13" s="2000">
        <v>681.51</v>
      </c>
      <c r="G13" s="2155">
        <v>993.59999999999991</v>
      </c>
      <c r="H13" s="2155">
        <v>1278.06</v>
      </c>
      <c r="I13" s="2155">
        <v>1182.6599999999999</v>
      </c>
      <c r="J13" s="2155">
        <v>1274.1199999999999</v>
      </c>
      <c r="K13" s="2155">
        <v>1301.74</v>
      </c>
      <c r="M13" s="841"/>
    </row>
    <row r="14" spans="2:13" x14ac:dyDescent="0.25">
      <c r="B14" s="951">
        <v>12</v>
      </c>
      <c r="C14" s="953" t="s">
        <v>822</v>
      </c>
      <c r="D14" s="2436">
        <v>16228.57</v>
      </c>
      <c r="E14" s="1999">
        <v>15337.130000000001</v>
      </c>
      <c r="F14" s="2000">
        <v>15140.76</v>
      </c>
      <c r="G14" s="2155">
        <v>20696.98</v>
      </c>
      <c r="H14" s="2155">
        <v>24631.17</v>
      </c>
      <c r="I14" s="2155">
        <v>23604.92</v>
      </c>
      <c r="J14" s="2155">
        <v>29216.01</v>
      </c>
      <c r="K14" s="2155">
        <v>28913.100000000002</v>
      </c>
      <c r="M14" s="841"/>
    </row>
    <row r="15" spans="2:13" x14ac:dyDescent="0.25">
      <c r="B15" s="951">
        <v>13</v>
      </c>
      <c r="C15" s="953" t="s">
        <v>507</v>
      </c>
      <c r="D15" s="2436">
        <v>8285.6100000000024</v>
      </c>
      <c r="E15" s="1999">
        <v>7648.13</v>
      </c>
      <c r="F15" s="2000">
        <v>7923.1399999999994</v>
      </c>
      <c r="G15" s="2155">
        <v>10066.680000000002</v>
      </c>
      <c r="H15" s="2155">
        <v>10029.59</v>
      </c>
      <c r="I15" s="2155">
        <v>9922.0099999999984</v>
      </c>
      <c r="J15" s="2155">
        <v>10284.75</v>
      </c>
      <c r="K15" s="2155">
        <v>10437.620000000003</v>
      </c>
      <c r="M15" s="841"/>
    </row>
    <row r="16" spans="2:13" x14ac:dyDescent="0.25">
      <c r="B16" s="951">
        <v>14</v>
      </c>
      <c r="C16" s="953" t="s">
        <v>538</v>
      </c>
      <c r="D16" s="2436">
        <v>363.84000000000003</v>
      </c>
      <c r="E16" s="1999">
        <v>440.4</v>
      </c>
      <c r="F16" s="2000">
        <v>882.46</v>
      </c>
      <c r="G16" s="2155">
        <v>1313.1100000000001</v>
      </c>
      <c r="H16" s="2155">
        <v>1222.3700000000001</v>
      </c>
      <c r="I16" s="2155">
        <v>1529.6</v>
      </c>
      <c r="J16" s="2155">
        <v>1615.9199999999998</v>
      </c>
      <c r="K16" s="2155">
        <v>1626.2299999999998</v>
      </c>
      <c r="M16" s="841"/>
    </row>
    <row r="17" spans="2:13" x14ac:dyDescent="0.25">
      <c r="B17" s="951">
        <v>15</v>
      </c>
      <c r="C17" s="953" t="s">
        <v>1521</v>
      </c>
      <c r="D17" s="2436">
        <v>1449.4</v>
      </c>
      <c r="E17" s="1999">
        <v>1458.96</v>
      </c>
      <c r="F17" s="2000">
        <v>1443.5</v>
      </c>
      <c r="G17" s="2155">
        <v>1858.9099999999999</v>
      </c>
      <c r="H17" s="2155">
        <v>1542.5900000000001</v>
      </c>
      <c r="I17" s="2155">
        <v>1621.3899999999999</v>
      </c>
      <c r="J17" s="2155">
        <v>1675.12</v>
      </c>
      <c r="K17" s="2155">
        <v>1805.63</v>
      </c>
      <c r="M17" s="841"/>
    </row>
    <row r="18" spans="2:13" x14ac:dyDescent="0.25">
      <c r="B18" s="951">
        <v>16</v>
      </c>
      <c r="C18" s="953" t="s">
        <v>541</v>
      </c>
      <c r="D18" s="2436">
        <v>2795.86</v>
      </c>
      <c r="E18" s="1999">
        <v>3296.4699999999993</v>
      </c>
      <c r="F18" s="2000">
        <v>3619.3899999999994</v>
      </c>
      <c r="G18" s="2155">
        <v>4392.2199999999993</v>
      </c>
      <c r="H18" s="2155">
        <v>5532.51</v>
      </c>
      <c r="I18" s="2155">
        <v>5876.1999999999989</v>
      </c>
      <c r="J18" s="2155">
        <v>5725.95</v>
      </c>
      <c r="K18" s="2155">
        <v>6247.22</v>
      </c>
      <c r="M18" s="841"/>
    </row>
    <row r="19" spans="2:13" x14ac:dyDescent="0.25">
      <c r="B19" s="951">
        <v>17</v>
      </c>
      <c r="C19" s="953" t="s">
        <v>550</v>
      </c>
      <c r="D19" s="2436">
        <v>14417.09</v>
      </c>
      <c r="E19" s="1999">
        <v>15380.85</v>
      </c>
      <c r="F19" s="2000">
        <v>15476.2</v>
      </c>
      <c r="G19" s="2155">
        <v>18310.22</v>
      </c>
      <c r="H19" s="2155">
        <v>18458.71</v>
      </c>
      <c r="I19" s="2155">
        <v>20030.010000000002</v>
      </c>
      <c r="J19" s="2155">
        <v>23549.329999999998</v>
      </c>
      <c r="K19" s="2155">
        <v>26357.22</v>
      </c>
      <c r="M19" s="841"/>
    </row>
    <row r="20" spans="2:13" x14ac:dyDescent="0.25">
      <c r="B20" s="951">
        <v>18</v>
      </c>
      <c r="C20" s="953" t="s">
        <v>568</v>
      </c>
      <c r="D20" s="2436">
        <v>7994.83</v>
      </c>
      <c r="E20" s="1999">
        <v>8074.21</v>
      </c>
      <c r="F20" s="2000">
        <v>6923.76</v>
      </c>
      <c r="G20" s="2155">
        <v>9264.7899999999991</v>
      </c>
      <c r="H20" s="2155">
        <v>11827.349999999999</v>
      </c>
      <c r="I20" s="2155">
        <v>12240.47</v>
      </c>
      <c r="J20" s="2155">
        <v>12589.640000000001</v>
      </c>
      <c r="K20" s="2155">
        <v>13226.38</v>
      </c>
      <c r="M20" s="841"/>
    </row>
    <row r="21" spans="2:13" x14ac:dyDescent="0.25">
      <c r="B21" s="951">
        <v>19</v>
      </c>
      <c r="C21" s="953" t="s">
        <v>1488</v>
      </c>
      <c r="D21" s="2436"/>
      <c r="E21" s="1999">
        <v>14.19</v>
      </c>
      <c r="F21" s="2000">
        <v>49.42</v>
      </c>
      <c r="G21" s="2155">
        <v>81.37</v>
      </c>
      <c r="H21" s="2155">
        <v>67.710000000000008</v>
      </c>
      <c r="I21" s="2155">
        <v>77.289999999999992</v>
      </c>
      <c r="J21" s="2155">
        <v>81.37</v>
      </c>
      <c r="K21" s="2155">
        <v>211.26999999999998</v>
      </c>
      <c r="M21" s="841"/>
    </row>
    <row r="22" spans="2:13" x14ac:dyDescent="0.25">
      <c r="B22" s="951">
        <v>20</v>
      </c>
      <c r="C22" s="953" t="s">
        <v>1500</v>
      </c>
      <c r="D22" s="2436">
        <v>0</v>
      </c>
      <c r="E22" s="1999">
        <v>0</v>
      </c>
      <c r="F22" s="2000">
        <v>0</v>
      </c>
      <c r="G22" s="2155">
        <v>0</v>
      </c>
      <c r="H22" s="2155">
        <v>3.29</v>
      </c>
      <c r="I22" s="2155">
        <v>19.13</v>
      </c>
      <c r="J22" s="2155">
        <v>15.57</v>
      </c>
      <c r="K22" s="2155">
        <v>13.53</v>
      </c>
      <c r="M22" s="841"/>
    </row>
    <row r="23" spans="2:13" x14ac:dyDescent="0.25">
      <c r="B23" s="951">
        <v>21</v>
      </c>
      <c r="C23" s="953" t="s">
        <v>578</v>
      </c>
      <c r="D23" s="2436">
        <v>9484.9699999999993</v>
      </c>
      <c r="E23" s="1999">
        <v>10719.51</v>
      </c>
      <c r="F23" s="2000">
        <v>11907.82</v>
      </c>
      <c r="G23" s="2155">
        <v>14157.190000000002</v>
      </c>
      <c r="H23" s="2155">
        <v>15573.16</v>
      </c>
      <c r="I23" s="2155">
        <v>15038.410000000002</v>
      </c>
      <c r="J23" s="2155">
        <v>15396.169999999998</v>
      </c>
      <c r="K23" s="2155">
        <v>16167.77</v>
      </c>
      <c r="M23" s="841"/>
    </row>
    <row r="24" spans="2:13" x14ac:dyDescent="0.25">
      <c r="B24" s="951">
        <v>22</v>
      </c>
      <c r="C24" s="953" t="s">
        <v>606</v>
      </c>
      <c r="D24" s="2436">
        <v>27190.78</v>
      </c>
      <c r="E24" s="1999">
        <v>26791.009999999995</v>
      </c>
      <c r="F24" s="2000">
        <v>25430.090000000004</v>
      </c>
      <c r="G24" s="2155">
        <v>34002.400000000001</v>
      </c>
      <c r="H24" s="2155">
        <v>37618.990000000005</v>
      </c>
      <c r="I24" s="2155">
        <v>36359.270000000004</v>
      </c>
      <c r="J24" s="2155">
        <v>37244.799999999996</v>
      </c>
      <c r="K24" s="2155">
        <v>38742.28</v>
      </c>
      <c r="M24" s="841"/>
    </row>
    <row r="25" spans="2:13" x14ac:dyDescent="0.25">
      <c r="B25" s="951">
        <v>23</v>
      </c>
      <c r="C25" s="953" t="s">
        <v>1492</v>
      </c>
      <c r="D25" s="2436">
        <v>180.75999999999996</v>
      </c>
      <c r="E25" s="1999">
        <v>192.34</v>
      </c>
      <c r="F25" s="2000">
        <v>264.57</v>
      </c>
      <c r="G25" s="2155">
        <v>318.58</v>
      </c>
      <c r="H25" s="2155">
        <v>330.71</v>
      </c>
      <c r="I25" s="2155">
        <v>263.58</v>
      </c>
      <c r="J25" s="2155">
        <v>270.51</v>
      </c>
      <c r="K25" s="2155">
        <v>313.15000000000003</v>
      </c>
      <c r="M25" s="841"/>
    </row>
    <row r="26" spans="2:13" x14ac:dyDescent="0.25">
      <c r="B26" s="951">
        <v>24</v>
      </c>
      <c r="C26" s="953" t="s">
        <v>1493</v>
      </c>
      <c r="D26" s="2436">
        <v>0</v>
      </c>
      <c r="E26" s="1999">
        <v>0</v>
      </c>
      <c r="F26" s="2000">
        <v>0</v>
      </c>
      <c r="G26" s="2155">
        <v>0</v>
      </c>
      <c r="H26" s="2155">
        <v>0</v>
      </c>
      <c r="I26" s="2155">
        <v>0</v>
      </c>
      <c r="J26" s="2155">
        <v>0</v>
      </c>
      <c r="K26" s="2155"/>
      <c r="M26" s="841"/>
    </row>
    <row r="27" spans="2:13" x14ac:dyDescent="0.25">
      <c r="B27" s="951">
        <v>25</v>
      </c>
      <c r="C27" s="953" t="s">
        <v>1494</v>
      </c>
      <c r="D27" s="2436">
        <v>88.080000000000013</v>
      </c>
      <c r="E27" s="1999">
        <v>90.84</v>
      </c>
      <c r="F27" s="2000">
        <v>84.43</v>
      </c>
      <c r="G27" s="2155">
        <v>119.66</v>
      </c>
      <c r="H27" s="2155">
        <v>86.78</v>
      </c>
      <c r="I27" s="2155">
        <v>96.9</v>
      </c>
      <c r="J27" s="2155">
        <v>152.25</v>
      </c>
      <c r="K27" s="2155">
        <v>246.44</v>
      </c>
      <c r="M27" s="841"/>
    </row>
    <row r="28" spans="2:13" x14ac:dyDescent="0.25">
      <c r="B28" s="951">
        <v>26</v>
      </c>
      <c r="C28" s="953" t="s">
        <v>1495</v>
      </c>
      <c r="D28" s="2436">
        <v>97.06</v>
      </c>
      <c r="E28" s="1999">
        <v>115.64</v>
      </c>
      <c r="F28" s="2000">
        <v>148.36000000000001</v>
      </c>
      <c r="G28" s="2155">
        <v>179.81</v>
      </c>
      <c r="H28" s="2155">
        <v>168.46</v>
      </c>
      <c r="I28" s="2155">
        <v>172.95</v>
      </c>
      <c r="J28" s="2155">
        <v>194.07999999999998</v>
      </c>
      <c r="K28" s="2155">
        <v>306.94</v>
      </c>
      <c r="M28" s="841"/>
    </row>
    <row r="29" spans="2:13" x14ac:dyDescent="0.25">
      <c r="B29" s="951">
        <v>27</v>
      </c>
      <c r="C29" s="953" t="s">
        <v>631</v>
      </c>
      <c r="D29" s="2436">
        <v>5659.82</v>
      </c>
      <c r="E29" s="1999">
        <v>5495.04</v>
      </c>
      <c r="F29" s="2000">
        <v>6224.1500000000005</v>
      </c>
      <c r="G29" s="2155">
        <v>7655.5199999999995</v>
      </c>
      <c r="H29" s="2155">
        <v>9328.2899999999991</v>
      </c>
      <c r="I29" s="2155">
        <v>9761.4800000000014</v>
      </c>
      <c r="J29" s="2155">
        <v>9759.4800000000014</v>
      </c>
      <c r="K29" s="2155">
        <v>9387.09</v>
      </c>
      <c r="M29" s="841"/>
    </row>
    <row r="30" spans="2:13" x14ac:dyDescent="0.25">
      <c r="B30" s="951">
        <v>28</v>
      </c>
      <c r="C30" s="953" t="s">
        <v>851</v>
      </c>
      <c r="D30" s="2436">
        <v>8.31</v>
      </c>
      <c r="E30" s="1999">
        <v>4.88</v>
      </c>
      <c r="F30" s="2000">
        <v>9.66</v>
      </c>
      <c r="G30" s="2155">
        <v>10.6</v>
      </c>
      <c r="H30" s="2155">
        <v>8.5299999999999994</v>
      </c>
      <c r="I30" s="2155">
        <v>0.67</v>
      </c>
      <c r="J30" s="2155">
        <v>0.42000000000000004</v>
      </c>
      <c r="K30" s="2155">
        <v>0.68</v>
      </c>
      <c r="M30" s="841"/>
    </row>
    <row r="31" spans="2:13" x14ac:dyDescent="0.25">
      <c r="B31" s="951">
        <v>29</v>
      </c>
      <c r="C31" s="953" t="s">
        <v>645</v>
      </c>
      <c r="D31" s="2436">
        <v>6575.7</v>
      </c>
      <c r="E31" s="1999">
        <v>5547.82</v>
      </c>
      <c r="F31" s="2000">
        <v>6291.3700000000008</v>
      </c>
      <c r="G31" s="2155">
        <v>7889.7200000000012</v>
      </c>
      <c r="H31" s="2155">
        <v>6899.96</v>
      </c>
      <c r="I31" s="2155">
        <v>7834.35</v>
      </c>
      <c r="J31" s="2155">
        <v>8263.85</v>
      </c>
      <c r="K31" s="2155">
        <v>8644.36</v>
      </c>
      <c r="M31" s="841"/>
    </row>
    <row r="32" spans="2:13" x14ac:dyDescent="0.25">
      <c r="B32" s="951">
        <v>30</v>
      </c>
      <c r="C32" s="953" t="s">
        <v>223</v>
      </c>
      <c r="D32" s="2436">
        <v>12714.25</v>
      </c>
      <c r="E32" s="1999">
        <v>13319.07</v>
      </c>
      <c r="F32" s="2000">
        <v>15118.59</v>
      </c>
      <c r="G32" s="2155">
        <v>17401.369999999995</v>
      </c>
      <c r="H32" s="2155">
        <v>18573.739999999998</v>
      </c>
      <c r="I32" s="2155">
        <v>19235.68</v>
      </c>
      <c r="J32" s="2155">
        <v>19005.259999999998</v>
      </c>
      <c r="K32" s="2155">
        <v>19713.289999999994</v>
      </c>
      <c r="M32" s="841"/>
    </row>
    <row r="33" spans="2:13" x14ac:dyDescent="0.25">
      <c r="B33" s="951">
        <v>31</v>
      </c>
      <c r="C33" s="953" t="s">
        <v>1496</v>
      </c>
      <c r="D33" s="2436">
        <v>133.94</v>
      </c>
      <c r="E33" s="1999">
        <v>129.13</v>
      </c>
      <c r="F33" s="2000">
        <v>110.51</v>
      </c>
      <c r="G33" s="2155">
        <v>155.41</v>
      </c>
      <c r="H33" s="2155">
        <v>179.43</v>
      </c>
      <c r="I33" s="2155">
        <v>186.05</v>
      </c>
      <c r="J33" s="2155">
        <v>190.31</v>
      </c>
      <c r="K33" s="2155">
        <v>212.01</v>
      </c>
      <c r="M33" s="841"/>
    </row>
    <row r="34" spans="2:13" x14ac:dyDescent="0.25">
      <c r="B34" s="951">
        <v>32</v>
      </c>
      <c r="C34" s="953" t="s">
        <v>224</v>
      </c>
      <c r="D34" s="2436">
        <v>18142.560000000001</v>
      </c>
      <c r="E34" s="1999">
        <v>18174.87</v>
      </c>
      <c r="F34" s="2000">
        <v>17063.239999999998</v>
      </c>
      <c r="G34" s="2155">
        <v>20586.200000000008</v>
      </c>
      <c r="H34" s="2155">
        <v>24309.200000000001</v>
      </c>
      <c r="I34" s="2155">
        <v>24470.799999999999</v>
      </c>
      <c r="J34" s="2155">
        <v>24880.309999999994</v>
      </c>
      <c r="K34" s="2155">
        <v>25883.63</v>
      </c>
      <c r="M34" s="841"/>
    </row>
    <row r="35" spans="2:13" x14ac:dyDescent="0.25">
      <c r="B35" s="951">
        <v>33</v>
      </c>
      <c r="C35" s="953" t="s">
        <v>691</v>
      </c>
      <c r="D35" s="2436">
        <v>10036.84</v>
      </c>
      <c r="E35" s="1999">
        <v>10045.42</v>
      </c>
      <c r="F35" s="2000">
        <v>8690.7999999999993</v>
      </c>
      <c r="G35" s="2155">
        <v>13170.88</v>
      </c>
      <c r="H35" s="2155">
        <v>14928.869999999999</v>
      </c>
      <c r="I35" s="2155">
        <v>15159.51</v>
      </c>
      <c r="J35" s="2155">
        <v>15666.62</v>
      </c>
      <c r="K35" s="2155">
        <v>16003.729999999998</v>
      </c>
      <c r="M35" s="841"/>
    </row>
    <row r="36" spans="2:13" x14ac:dyDescent="0.25">
      <c r="B36" s="951">
        <v>34</v>
      </c>
      <c r="C36" s="953" t="s">
        <v>390</v>
      </c>
      <c r="D36" s="2436">
        <v>276.58</v>
      </c>
      <c r="E36" s="1999">
        <v>384.03</v>
      </c>
      <c r="F36" s="2000">
        <v>444.63</v>
      </c>
      <c r="G36" s="2155">
        <v>473.88</v>
      </c>
      <c r="H36" s="2155">
        <v>624.49</v>
      </c>
      <c r="I36" s="2155">
        <v>578.44000000000005</v>
      </c>
      <c r="J36" s="2155">
        <v>523.17999999999995</v>
      </c>
      <c r="K36" s="2155">
        <v>580.89</v>
      </c>
      <c r="M36" s="841"/>
    </row>
    <row r="37" spans="2:13" x14ac:dyDescent="0.25">
      <c r="B37" s="951">
        <v>35</v>
      </c>
      <c r="C37" s="953" t="s">
        <v>709</v>
      </c>
      <c r="D37" s="2436">
        <v>19167.509999999998</v>
      </c>
      <c r="E37" s="1999">
        <v>20111.740000000002</v>
      </c>
      <c r="F37" s="2000">
        <v>21955.760000000002</v>
      </c>
      <c r="G37" s="2155">
        <v>26333.17</v>
      </c>
      <c r="H37" s="2155">
        <v>28170.239999999998</v>
      </c>
      <c r="I37" s="2155">
        <v>30411.38</v>
      </c>
      <c r="J37" s="2155">
        <v>32126.75</v>
      </c>
      <c r="K37" s="2155">
        <v>32771.889999999992</v>
      </c>
      <c r="M37" s="841"/>
    </row>
    <row r="38" spans="2:13" x14ac:dyDescent="0.25">
      <c r="B38" s="951">
        <v>36</v>
      </c>
      <c r="C38" s="953" t="s">
        <v>757</v>
      </c>
      <c r="D38" s="2436">
        <v>1595.15</v>
      </c>
      <c r="E38" s="1999">
        <v>1494.57</v>
      </c>
      <c r="F38" s="2000">
        <v>1523.7800000000002</v>
      </c>
      <c r="G38" s="2155">
        <v>1846.5</v>
      </c>
      <c r="H38" s="2155">
        <v>2072.69</v>
      </c>
      <c r="I38" s="2155">
        <v>2390.2400000000002</v>
      </c>
      <c r="J38" s="2155">
        <v>2159.46</v>
      </c>
      <c r="K38" s="2155">
        <v>2176.2800000000002</v>
      </c>
      <c r="M38" s="841"/>
    </row>
    <row r="39" spans="2:13" x14ac:dyDescent="0.25">
      <c r="B39" s="2001">
        <v>37</v>
      </c>
      <c r="C39" s="954" t="s">
        <v>225</v>
      </c>
      <c r="D39" s="2437">
        <v>7865.5000000000009</v>
      </c>
      <c r="E39" s="2157">
        <v>7534.36</v>
      </c>
      <c r="F39" s="2438">
        <v>7915.68</v>
      </c>
      <c r="G39" s="2156">
        <v>10335.36</v>
      </c>
      <c r="H39" s="2156">
        <v>12385.88</v>
      </c>
      <c r="I39" s="2155">
        <v>12220.46</v>
      </c>
      <c r="J39" s="2155">
        <v>12978.96</v>
      </c>
      <c r="K39" s="2155">
        <v>13248.34</v>
      </c>
      <c r="M39" s="841"/>
    </row>
    <row r="40" spans="2:13" x14ac:dyDescent="0.25">
      <c r="B40" s="2439"/>
      <c r="C40" s="2440" t="s">
        <v>2000</v>
      </c>
      <c r="D40" s="2441">
        <f t="shared" ref="D40:K40" si="0">SUM(D4:D39)</f>
        <v>201264.8</v>
      </c>
      <c r="E40" s="2442">
        <f t="shared" si="0"/>
        <v>200492.55</v>
      </c>
      <c r="F40" s="2431">
        <f t="shared" si="0"/>
        <v>202937.08</v>
      </c>
      <c r="G40" s="2443">
        <f t="shared" si="0"/>
        <v>256247.95</v>
      </c>
      <c r="H40" s="2443">
        <f t="shared" si="0"/>
        <v>288086.07999999996</v>
      </c>
      <c r="I40" s="2443">
        <f t="shared" si="0"/>
        <v>292716.40999999997</v>
      </c>
      <c r="J40" s="2443">
        <f t="shared" si="0"/>
        <v>309096.66000000003</v>
      </c>
      <c r="K40" s="2443">
        <f t="shared" si="0"/>
        <v>318225.55000000005</v>
      </c>
      <c r="M40" s="841"/>
    </row>
    <row r="41" spans="2:13" x14ac:dyDescent="0.25">
      <c r="B41" s="955" t="s">
        <v>2999</v>
      </c>
      <c r="C41" s="944"/>
      <c r="D41" s="838"/>
      <c r="E41" s="838"/>
      <c r="F41" s="838"/>
      <c r="G41" s="838"/>
      <c r="H41" s="838"/>
      <c r="I41" s="838"/>
      <c r="J41" s="838"/>
      <c r="K41" s="840"/>
    </row>
    <row r="42" spans="2:13" x14ac:dyDescent="0.25">
      <c r="B42" s="956" t="s">
        <v>2399</v>
      </c>
      <c r="C42" s="950"/>
      <c r="D42" s="838"/>
      <c r="E42" s="838"/>
      <c r="F42" s="838"/>
      <c r="G42" s="838"/>
      <c r="H42" s="838"/>
      <c r="I42" s="838"/>
      <c r="J42" s="838"/>
      <c r="K42" s="840"/>
      <c r="M42" s="842"/>
    </row>
    <row r="43" spans="2:13" x14ac:dyDescent="0.25">
      <c r="B43" s="945" t="s">
        <v>2001</v>
      </c>
      <c r="C43" s="946"/>
      <c r="D43" s="942"/>
      <c r="E43" s="942"/>
      <c r="F43" s="942"/>
      <c r="G43" s="942"/>
      <c r="H43" s="942"/>
      <c r="I43" s="942"/>
      <c r="J43" s="942"/>
      <c r="K43" s="943"/>
    </row>
    <row r="45" spans="2:13" x14ac:dyDescent="0.25">
      <c r="B45" s="839"/>
    </row>
  </sheetData>
  <mergeCells count="2">
    <mergeCell ref="B1:K1"/>
    <mergeCell ref="B2:K2"/>
  </mergeCells>
  <pageMargins left="0.7" right="0.7" top="0.75" bottom="0.75" header="0.3" footer="0.3"/>
  <pageSetup paperSize="9" scale="90" orientation="portrait" r:id="rId1"/>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666BC0D-AFDC-4907-BE71-D1439C8E8E71}">
  <sheetPr>
    <tabColor theme="0"/>
    <pageSetUpPr fitToPage="1"/>
  </sheetPr>
  <dimension ref="B1:P47"/>
  <sheetViews>
    <sheetView showGridLines="0" view="pageBreakPreview" zoomScaleNormal="90" zoomScaleSheetLayoutView="100" workbookViewId="0">
      <selection activeCell="B81" sqref="B81"/>
    </sheetView>
  </sheetViews>
  <sheetFormatPr defaultColWidth="9.140625" defaultRowHeight="15" x14ac:dyDescent="0.25"/>
  <cols>
    <col min="1" max="1" width="1.85546875" style="128" customWidth="1"/>
    <col min="2" max="2" width="10" style="128" customWidth="1"/>
    <col min="3" max="3" width="38.42578125" style="128" customWidth="1"/>
    <col min="4" max="5" width="9.85546875" style="220" hidden="1" customWidth="1"/>
    <col min="6" max="6" width="8.42578125" style="220" hidden="1" customWidth="1"/>
    <col min="7" max="10" width="8.42578125" style="220" bestFit="1" customWidth="1"/>
    <col min="11" max="11" width="11.7109375" style="220" bestFit="1" customWidth="1"/>
    <col min="12" max="16384" width="9.140625" style="128"/>
  </cols>
  <sheetData>
    <row r="1" spans="2:16" ht="23.25" customHeight="1" x14ac:dyDescent="0.25">
      <c r="B1" s="3823" t="s">
        <v>2002</v>
      </c>
      <c r="C1" s="3824"/>
      <c r="D1" s="3824"/>
      <c r="E1" s="3824"/>
      <c r="F1" s="3824"/>
      <c r="G1" s="3824"/>
      <c r="H1" s="3824"/>
      <c r="I1" s="3824"/>
      <c r="J1" s="3824"/>
      <c r="K1" s="3825"/>
    </row>
    <row r="2" spans="2:16" x14ac:dyDescent="0.25">
      <c r="B2" s="3826" t="s">
        <v>1998</v>
      </c>
      <c r="C2" s="3826"/>
      <c r="D2" s="3826"/>
      <c r="E2" s="3826"/>
      <c r="F2" s="3826"/>
      <c r="G2" s="3826"/>
      <c r="H2" s="3826"/>
      <c r="I2" s="3826"/>
      <c r="J2" s="3826"/>
      <c r="K2" s="3826"/>
    </row>
    <row r="3" spans="2:16" x14ac:dyDescent="0.25">
      <c r="B3" s="2432" t="s">
        <v>3</v>
      </c>
      <c r="C3" s="2432" t="s">
        <v>2003</v>
      </c>
      <c r="D3" s="2434" t="s">
        <v>7</v>
      </c>
      <c r="E3" s="2433" t="s">
        <v>8</v>
      </c>
      <c r="F3" s="2433" t="s">
        <v>9</v>
      </c>
      <c r="G3" s="2433" t="s">
        <v>77</v>
      </c>
      <c r="H3" s="2433" t="s">
        <v>11</v>
      </c>
      <c r="I3" s="2444" t="s">
        <v>382</v>
      </c>
      <c r="J3" s="2444" t="s">
        <v>2309</v>
      </c>
      <c r="K3" s="2444" t="s">
        <v>2479</v>
      </c>
    </row>
    <row r="4" spans="2:16" x14ac:dyDescent="0.25">
      <c r="B4" s="2034">
        <v>1</v>
      </c>
      <c r="C4" s="2024" t="s">
        <v>1490</v>
      </c>
      <c r="D4" s="2025">
        <v>0.19</v>
      </c>
      <c r="E4" s="2026">
        <v>0.31</v>
      </c>
      <c r="F4" s="2445">
        <v>0.31</v>
      </c>
      <c r="G4" s="2446">
        <v>1</v>
      </c>
      <c r="H4" s="2446">
        <v>0.65</v>
      </c>
      <c r="I4" s="2446">
        <v>0.46</v>
      </c>
      <c r="J4" s="2446">
        <v>0.54</v>
      </c>
      <c r="K4" s="2446">
        <v>0.5</v>
      </c>
      <c r="M4" s="841"/>
      <c r="N4" s="2002"/>
      <c r="P4" s="842"/>
    </row>
    <row r="5" spans="2:16" x14ac:dyDescent="0.25">
      <c r="B5" s="2034">
        <v>2</v>
      </c>
      <c r="C5" s="2027" t="s">
        <v>221</v>
      </c>
      <c r="D5" s="2447">
        <v>257.13000000000005</v>
      </c>
      <c r="E5" s="2448">
        <v>155.92999999999998</v>
      </c>
      <c r="F5" s="2449">
        <v>111.79000000000002</v>
      </c>
      <c r="G5" s="2446">
        <v>203.51999999999998</v>
      </c>
      <c r="H5" s="2446">
        <v>289.86999999999995</v>
      </c>
      <c r="I5" s="2446">
        <v>310.28999999999996</v>
      </c>
      <c r="J5" s="2446">
        <v>284.04999999999995</v>
      </c>
      <c r="K5" s="2446">
        <v>338.32999999999993</v>
      </c>
      <c r="M5" s="841"/>
      <c r="N5" s="2002"/>
      <c r="P5" s="842"/>
    </row>
    <row r="6" spans="2:16" x14ac:dyDescent="0.25">
      <c r="B6" s="2034">
        <v>3</v>
      </c>
      <c r="C6" s="2027" t="s">
        <v>220</v>
      </c>
      <c r="D6" s="2447">
        <v>6.19</v>
      </c>
      <c r="E6" s="2448">
        <v>0.11</v>
      </c>
      <c r="F6" s="2449">
        <v>0.33</v>
      </c>
      <c r="G6" s="2446">
        <v>0.34</v>
      </c>
      <c r="H6" s="2446">
        <v>0.55000000000000004</v>
      </c>
      <c r="I6" s="2446">
        <v>0.83000000000000007</v>
      </c>
      <c r="J6" s="2446">
        <v>0.94000000000000006</v>
      </c>
      <c r="K6" s="2446">
        <v>1.05</v>
      </c>
      <c r="M6" s="841"/>
      <c r="N6" s="219"/>
      <c r="P6" s="842"/>
    </row>
    <row r="7" spans="2:16" x14ac:dyDescent="0.25">
      <c r="B7" s="2034">
        <v>4</v>
      </c>
      <c r="C7" s="2027" t="s">
        <v>331</v>
      </c>
      <c r="D7" s="2447">
        <v>559.06999999999994</v>
      </c>
      <c r="E7" s="2448">
        <v>475.27</v>
      </c>
      <c r="F7" s="2449">
        <v>331.84000000000003</v>
      </c>
      <c r="G7" s="2446">
        <v>413.98999999999995</v>
      </c>
      <c r="H7" s="2446">
        <v>444.95000000000005</v>
      </c>
      <c r="I7" s="2446">
        <v>364.15999999999997</v>
      </c>
      <c r="J7" s="2446">
        <v>352.32999999999993</v>
      </c>
      <c r="K7" s="2446">
        <v>333.68999999999994</v>
      </c>
      <c r="M7" s="841"/>
      <c r="N7" s="2002"/>
      <c r="P7" s="842"/>
    </row>
    <row r="8" spans="2:16" x14ac:dyDescent="0.25">
      <c r="B8" s="2034">
        <v>5</v>
      </c>
      <c r="C8" s="2027" t="s">
        <v>426</v>
      </c>
      <c r="D8" s="2447">
        <v>158.9</v>
      </c>
      <c r="E8" s="2448">
        <v>144.54</v>
      </c>
      <c r="F8" s="2449">
        <v>121.77</v>
      </c>
      <c r="G8" s="2446">
        <v>146.88</v>
      </c>
      <c r="H8" s="2446">
        <v>210.45000000000002</v>
      </c>
      <c r="I8" s="2446">
        <v>202.86</v>
      </c>
      <c r="J8" s="2446">
        <v>154.23000000000002</v>
      </c>
      <c r="K8" s="2446">
        <v>190.74</v>
      </c>
      <c r="M8" s="841"/>
      <c r="N8" s="2002"/>
      <c r="P8" s="842"/>
    </row>
    <row r="9" spans="2:16" x14ac:dyDescent="0.25">
      <c r="B9" s="2034">
        <v>6</v>
      </c>
      <c r="C9" s="2027" t="s">
        <v>1484</v>
      </c>
      <c r="D9" s="2025">
        <v>1.19</v>
      </c>
      <c r="E9" s="2026">
        <v>1.02</v>
      </c>
      <c r="F9" s="2445">
        <v>0.98</v>
      </c>
      <c r="G9" s="2446">
        <v>1.22</v>
      </c>
      <c r="H9" s="2446">
        <v>1.87</v>
      </c>
      <c r="I9" s="2446">
        <v>1.34</v>
      </c>
      <c r="J9" s="2446">
        <v>1.44</v>
      </c>
      <c r="K9" s="2446">
        <v>1.6600000000000001</v>
      </c>
      <c r="M9" s="841"/>
      <c r="N9" s="2002"/>
      <c r="P9" s="842"/>
    </row>
    <row r="10" spans="2:16" x14ac:dyDescent="0.25">
      <c r="B10" s="2034">
        <v>7</v>
      </c>
      <c r="C10" s="2027" t="s">
        <v>452</v>
      </c>
      <c r="D10" s="2447">
        <v>18.009999999999998</v>
      </c>
      <c r="E10" s="2448">
        <v>9.41</v>
      </c>
      <c r="F10" s="2449">
        <v>14.290000000000001</v>
      </c>
      <c r="G10" s="2446">
        <v>26.080000000000002</v>
      </c>
      <c r="H10" s="2446">
        <v>29.84</v>
      </c>
      <c r="I10" s="2446">
        <v>39.47</v>
      </c>
      <c r="J10" s="2446">
        <v>18.700000000000003</v>
      </c>
      <c r="K10" s="2446">
        <v>39.68</v>
      </c>
      <c r="M10" s="841"/>
      <c r="N10" s="2002"/>
      <c r="P10" s="842"/>
    </row>
    <row r="11" spans="2:16" ht="18" customHeight="1" x14ac:dyDescent="0.25">
      <c r="B11" s="2034" t="s">
        <v>2883</v>
      </c>
      <c r="C11" s="2024" t="s">
        <v>1840</v>
      </c>
      <c r="D11" s="2025">
        <v>11.93</v>
      </c>
      <c r="E11" s="2026">
        <v>20.079999999999998</v>
      </c>
      <c r="F11" s="2445">
        <v>20.45</v>
      </c>
      <c r="G11" s="2446">
        <v>14.649999999999999</v>
      </c>
      <c r="H11" s="2446">
        <v>41.2</v>
      </c>
      <c r="I11" s="2446">
        <v>17.880000000000003</v>
      </c>
      <c r="J11" s="2446">
        <v>28.75</v>
      </c>
      <c r="K11" s="2446">
        <v>22.959999999999997</v>
      </c>
      <c r="M11" s="841"/>
      <c r="N11" s="2002"/>
      <c r="P11" s="842"/>
    </row>
    <row r="12" spans="2:16" x14ac:dyDescent="0.25">
      <c r="B12" s="2034">
        <v>10</v>
      </c>
      <c r="C12" s="2027" t="s">
        <v>1485</v>
      </c>
      <c r="D12" s="2025">
        <v>51.55</v>
      </c>
      <c r="E12" s="2026">
        <v>51.019999999999989</v>
      </c>
      <c r="F12" s="2445">
        <v>36.730000000000004</v>
      </c>
      <c r="G12" s="2446">
        <v>53.75</v>
      </c>
      <c r="H12" s="2446">
        <v>56.169999999999995</v>
      </c>
      <c r="I12" s="2446">
        <v>71.64</v>
      </c>
      <c r="J12" s="2446">
        <v>114.42</v>
      </c>
      <c r="K12" s="2446">
        <v>76.27</v>
      </c>
      <c r="M12" s="841"/>
      <c r="N12" s="2002"/>
      <c r="P12" s="842"/>
    </row>
    <row r="13" spans="2:16" x14ac:dyDescent="0.25">
      <c r="B13" s="2034">
        <v>11</v>
      </c>
      <c r="C13" s="2027" t="s">
        <v>466</v>
      </c>
      <c r="D13" s="2447">
        <v>2.8699999999999997</v>
      </c>
      <c r="E13" s="2448">
        <v>9.1600000000000019</v>
      </c>
      <c r="F13" s="2449">
        <v>10.579999999999998</v>
      </c>
      <c r="G13" s="2446">
        <v>14.55</v>
      </c>
      <c r="H13" s="2446">
        <v>9.5900000000000016</v>
      </c>
      <c r="I13" s="2446">
        <v>18.14</v>
      </c>
      <c r="J13" s="2446">
        <v>8.5</v>
      </c>
      <c r="K13" s="2446">
        <v>8.51</v>
      </c>
      <c r="M13" s="841"/>
      <c r="N13" s="2002"/>
      <c r="P13" s="842"/>
    </row>
    <row r="14" spans="2:16" x14ac:dyDescent="0.25">
      <c r="B14" s="2034">
        <v>12</v>
      </c>
      <c r="C14" s="2027" t="s">
        <v>822</v>
      </c>
      <c r="D14" s="2447">
        <v>2059.6099999999997</v>
      </c>
      <c r="E14" s="2448">
        <v>1800.77</v>
      </c>
      <c r="F14" s="2449">
        <v>1566.17</v>
      </c>
      <c r="G14" s="2446">
        <v>3179.8700000000003</v>
      </c>
      <c r="H14" s="2446">
        <v>3921.91</v>
      </c>
      <c r="I14" s="2446">
        <v>3343.46</v>
      </c>
      <c r="J14" s="2446">
        <v>3137.3599999999992</v>
      </c>
      <c r="K14" s="2446">
        <v>2941.4900000000002</v>
      </c>
      <c r="M14" s="841"/>
      <c r="N14" s="2002"/>
      <c r="P14" s="842"/>
    </row>
    <row r="15" spans="2:16" x14ac:dyDescent="0.25">
      <c r="B15" s="2034">
        <v>13</v>
      </c>
      <c r="C15" s="2027" t="s">
        <v>507</v>
      </c>
      <c r="D15" s="2447">
        <v>658.94999999999993</v>
      </c>
      <c r="E15" s="2448">
        <v>684.78</v>
      </c>
      <c r="F15" s="2449">
        <v>528.76</v>
      </c>
      <c r="G15" s="2446">
        <v>1064.1299999999999</v>
      </c>
      <c r="H15" s="2446">
        <v>1118.6399999999999</v>
      </c>
      <c r="I15" s="2446">
        <v>1032.8600000000001</v>
      </c>
      <c r="J15" s="2446">
        <v>1058.47</v>
      </c>
      <c r="K15" s="2446">
        <v>1089.9299999999998</v>
      </c>
      <c r="M15" s="841"/>
      <c r="N15" s="2002"/>
      <c r="P15" s="842"/>
    </row>
    <row r="16" spans="2:16" x14ac:dyDescent="0.25">
      <c r="B16" s="2034">
        <v>14</v>
      </c>
      <c r="C16" s="2027" t="s">
        <v>538</v>
      </c>
      <c r="D16" s="2447">
        <v>3.46</v>
      </c>
      <c r="E16" s="2448">
        <v>4.25</v>
      </c>
      <c r="F16" s="2449">
        <v>5.78</v>
      </c>
      <c r="G16" s="2446">
        <v>7.97</v>
      </c>
      <c r="H16" s="2446">
        <v>18.080000000000002</v>
      </c>
      <c r="I16" s="2446">
        <v>8.370000000000001</v>
      </c>
      <c r="J16" s="2446">
        <v>7.38</v>
      </c>
      <c r="K16" s="2446">
        <v>12.200000000000001</v>
      </c>
      <c r="M16" s="841"/>
      <c r="N16" s="2002"/>
      <c r="P16" s="842"/>
    </row>
    <row r="17" spans="2:16" x14ac:dyDescent="0.25">
      <c r="B17" s="2034">
        <v>15</v>
      </c>
      <c r="C17" s="2027" t="s">
        <v>1521</v>
      </c>
      <c r="D17" s="2447">
        <v>20.45</v>
      </c>
      <c r="E17" s="2448">
        <v>16.66</v>
      </c>
      <c r="F17" s="2449">
        <v>39.5</v>
      </c>
      <c r="G17" s="2446">
        <v>35.21</v>
      </c>
      <c r="H17" s="2446">
        <v>24.05</v>
      </c>
      <c r="I17" s="2446">
        <v>26.520000000000003</v>
      </c>
      <c r="J17" s="2446">
        <v>19.11</v>
      </c>
      <c r="K17" s="2446">
        <v>26.75</v>
      </c>
      <c r="M17" s="841"/>
      <c r="N17" s="2002"/>
      <c r="P17" s="842"/>
    </row>
    <row r="18" spans="2:16" x14ac:dyDescent="0.25">
      <c r="B18" s="2034">
        <v>16</v>
      </c>
      <c r="C18" s="2027" t="s">
        <v>541</v>
      </c>
      <c r="D18" s="2447">
        <v>12.549999999999999</v>
      </c>
      <c r="E18" s="2448">
        <v>15.76</v>
      </c>
      <c r="F18" s="2449">
        <v>11.9</v>
      </c>
      <c r="G18" s="2446">
        <v>10.28</v>
      </c>
      <c r="H18" s="2446">
        <v>28.68</v>
      </c>
      <c r="I18" s="2446">
        <v>38.440000000000005</v>
      </c>
      <c r="J18" s="2446">
        <v>20.48</v>
      </c>
      <c r="K18" s="2446">
        <v>21.729999999999997</v>
      </c>
      <c r="M18" s="841"/>
      <c r="N18" s="2002"/>
      <c r="P18" s="842"/>
    </row>
    <row r="19" spans="2:16" x14ac:dyDescent="0.25">
      <c r="B19" s="2034">
        <v>17</v>
      </c>
      <c r="C19" s="2027" t="s">
        <v>550</v>
      </c>
      <c r="D19" s="2447">
        <v>355.88</v>
      </c>
      <c r="E19" s="2448">
        <v>268.51</v>
      </c>
      <c r="F19" s="2449">
        <v>260.23</v>
      </c>
      <c r="G19" s="2446">
        <v>461.15999999999997</v>
      </c>
      <c r="H19" s="2446">
        <v>576.92999999999995</v>
      </c>
      <c r="I19" s="2446">
        <v>436.51</v>
      </c>
      <c r="J19" s="2446">
        <v>411.56</v>
      </c>
      <c r="K19" s="2446">
        <v>380.04</v>
      </c>
      <c r="M19" s="841"/>
      <c r="N19" s="2002"/>
      <c r="P19" s="842"/>
    </row>
    <row r="20" spans="2:16" x14ac:dyDescent="0.25">
      <c r="B20" s="2034">
        <v>18</v>
      </c>
      <c r="C20" s="2027" t="s">
        <v>568</v>
      </c>
      <c r="D20" s="2447">
        <v>145.9</v>
      </c>
      <c r="E20" s="2448">
        <v>170.85</v>
      </c>
      <c r="F20" s="2449">
        <v>136.48000000000002</v>
      </c>
      <c r="G20" s="2446">
        <v>254.72</v>
      </c>
      <c r="H20" s="2446">
        <v>332.70000000000005</v>
      </c>
      <c r="I20" s="2446">
        <v>314.67999999999995</v>
      </c>
      <c r="J20" s="2446">
        <v>323.25</v>
      </c>
      <c r="K20" s="2446">
        <v>340.83</v>
      </c>
      <c r="M20" s="841"/>
      <c r="N20" s="2002"/>
      <c r="P20" s="842"/>
    </row>
    <row r="21" spans="2:16" x14ac:dyDescent="0.25">
      <c r="B21" s="2034">
        <v>19</v>
      </c>
      <c r="C21" s="2024" t="s">
        <v>1488</v>
      </c>
      <c r="D21" s="2447"/>
      <c r="E21" s="2448">
        <v>0.76</v>
      </c>
      <c r="F21" s="2449">
        <v>0.67999999999999994</v>
      </c>
      <c r="G21" s="2446">
        <v>1.04</v>
      </c>
      <c r="H21" s="2446">
        <v>5.6</v>
      </c>
      <c r="I21" s="2446">
        <v>1.0900000000000001</v>
      </c>
      <c r="J21" s="2446">
        <v>1.1000000000000001</v>
      </c>
      <c r="K21" s="2446">
        <v>1.2999999999999998</v>
      </c>
      <c r="M21" s="841"/>
      <c r="N21" s="2002"/>
      <c r="P21" s="842"/>
    </row>
    <row r="22" spans="2:16" x14ac:dyDescent="0.25">
      <c r="B22" s="2034">
        <v>20</v>
      </c>
      <c r="C22" s="2027" t="s">
        <v>1500</v>
      </c>
      <c r="D22" s="2025">
        <v>0</v>
      </c>
      <c r="E22" s="2026">
        <v>0.16</v>
      </c>
      <c r="F22" s="2445">
        <v>0</v>
      </c>
      <c r="G22" s="2446">
        <v>0.67</v>
      </c>
      <c r="H22" s="2446">
        <v>0</v>
      </c>
      <c r="I22" s="2446">
        <v>0.01</v>
      </c>
      <c r="J22" s="2446">
        <v>0.02</v>
      </c>
      <c r="K22" s="2446"/>
      <c r="M22" s="841"/>
      <c r="N22" s="2002"/>
      <c r="P22" s="842"/>
    </row>
    <row r="23" spans="2:16" x14ac:dyDescent="0.25">
      <c r="B23" s="2034">
        <v>21</v>
      </c>
      <c r="C23" s="2027" t="s">
        <v>578</v>
      </c>
      <c r="D23" s="2447">
        <v>86.740000000000009</v>
      </c>
      <c r="E23" s="2448">
        <v>98.39</v>
      </c>
      <c r="F23" s="2449">
        <v>67.55</v>
      </c>
      <c r="G23" s="2446">
        <v>116.94</v>
      </c>
      <c r="H23" s="2446">
        <v>173.60999999999999</v>
      </c>
      <c r="I23" s="2446">
        <v>174.8</v>
      </c>
      <c r="J23" s="2446">
        <v>145.47000000000003</v>
      </c>
      <c r="K23" s="2446">
        <v>197.01</v>
      </c>
      <c r="M23" s="841"/>
      <c r="N23" s="2002"/>
      <c r="P23" s="842"/>
    </row>
    <row r="24" spans="2:16" x14ac:dyDescent="0.25">
      <c r="B24" s="2034">
        <v>22</v>
      </c>
      <c r="C24" s="2027" t="s">
        <v>606</v>
      </c>
      <c r="D24" s="2447">
        <v>1271.7600000000002</v>
      </c>
      <c r="E24" s="2448">
        <v>1126.3699999999999</v>
      </c>
      <c r="F24" s="2449">
        <v>932.47999999999979</v>
      </c>
      <c r="G24" s="2446">
        <v>1822.3499999999997</v>
      </c>
      <c r="H24" s="2446">
        <v>2101.5100000000002</v>
      </c>
      <c r="I24" s="2446">
        <v>1935.36</v>
      </c>
      <c r="J24" s="2446">
        <v>1663.27</v>
      </c>
      <c r="K24" s="2446">
        <v>1873.0500000000002</v>
      </c>
      <c r="M24" s="841"/>
      <c r="N24" s="2002"/>
      <c r="P24" s="842"/>
    </row>
    <row r="25" spans="2:16" x14ac:dyDescent="0.25">
      <c r="B25" s="2034">
        <v>23</v>
      </c>
      <c r="C25" s="2027" t="s">
        <v>1492</v>
      </c>
      <c r="D25" s="2447">
        <v>1.2799999999999998</v>
      </c>
      <c r="E25" s="2448">
        <v>1.48</v>
      </c>
      <c r="F25" s="2449">
        <v>1.6</v>
      </c>
      <c r="G25" s="2446">
        <v>1.8</v>
      </c>
      <c r="H25" s="2446">
        <v>2.1</v>
      </c>
      <c r="I25" s="2446">
        <v>2.2599999999999998</v>
      </c>
      <c r="J25" s="2446">
        <v>1.85</v>
      </c>
      <c r="K25" s="2446">
        <v>4.5600000000000005</v>
      </c>
      <c r="M25" s="841"/>
      <c r="N25" s="2002"/>
      <c r="P25" s="842"/>
    </row>
    <row r="26" spans="2:16" x14ac:dyDescent="0.25">
      <c r="B26" s="2034">
        <v>24</v>
      </c>
      <c r="C26" s="2027" t="s">
        <v>1493</v>
      </c>
      <c r="D26" s="2447">
        <v>0.7</v>
      </c>
      <c r="E26" s="2448">
        <v>0.35000000000000003</v>
      </c>
      <c r="F26" s="2449">
        <v>0.1</v>
      </c>
      <c r="G26" s="2446">
        <v>0.24000000000000002</v>
      </c>
      <c r="H26" s="2446">
        <v>0.33999999999999997</v>
      </c>
      <c r="I26" s="2446">
        <v>0.13</v>
      </c>
      <c r="J26" s="2446">
        <v>0.26</v>
      </c>
      <c r="K26" s="2446">
        <v>0.38</v>
      </c>
      <c r="M26" s="841"/>
      <c r="N26" s="2002"/>
      <c r="P26" s="842"/>
    </row>
    <row r="27" spans="2:16" x14ac:dyDescent="0.25">
      <c r="B27" s="2034">
        <v>25</v>
      </c>
      <c r="C27" s="2027" t="s">
        <v>1494</v>
      </c>
      <c r="D27" s="2447">
        <v>0.52</v>
      </c>
      <c r="E27" s="2448">
        <v>1.29</v>
      </c>
      <c r="F27" s="2449">
        <v>0.45</v>
      </c>
      <c r="G27" s="2446">
        <v>0.44</v>
      </c>
      <c r="H27" s="2446">
        <v>0.54</v>
      </c>
      <c r="I27" s="2446">
        <v>0.61</v>
      </c>
      <c r="J27" s="2446">
        <v>0.71</v>
      </c>
      <c r="K27" s="2446">
        <v>0.87</v>
      </c>
      <c r="M27" s="841"/>
      <c r="N27" s="2002"/>
      <c r="P27" s="842"/>
    </row>
    <row r="28" spans="2:16" x14ac:dyDescent="0.25">
      <c r="B28" s="2034">
        <v>26</v>
      </c>
      <c r="C28" s="2027" t="s">
        <v>1495</v>
      </c>
      <c r="D28" s="2447">
        <v>0.54</v>
      </c>
      <c r="E28" s="2448">
        <v>0.56000000000000005</v>
      </c>
      <c r="F28" s="2449">
        <v>0.45000000000000007</v>
      </c>
      <c r="G28" s="2446">
        <v>0.55000000000000004</v>
      </c>
      <c r="H28" s="2446">
        <v>0.77</v>
      </c>
      <c r="I28" s="2446">
        <v>0.74</v>
      </c>
      <c r="J28" s="2446">
        <v>0.87000000000000011</v>
      </c>
      <c r="K28" s="2446">
        <v>1.01</v>
      </c>
      <c r="M28" s="841"/>
      <c r="N28" s="2002"/>
      <c r="P28" s="842"/>
    </row>
    <row r="29" spans="2:16" x14ac:dyDescent="0.25">
      <c r="B29" s="2034">
        <v>27</v>
      </c>
      <c r="C29" s="2027" t="s">
        <v>631</v>
      </c>
      <c r="D29" s="2447">
        <v>92.529999999999987</v>
      </c>
      <c r="E29" s="2448">
        <v>192.39999999999998</v>
      </c>
      <c r="F29" s="2449">
        <v>194.95999999999998</v>
      </c>
      <c r="G29" s="2446">
        <v>420.71</v>
      </c>
      <c r="H29" s="2446">
        <v>578.89</v>
      </c>
      <c r="I29" s="2446">
        <v>587.25</v>
      </c>
      <c r="J29" s="2446">
        <v>508.31</v>
      </c>
      <c r="K29" s="2446">
        <v>530.30999999999995</v>
      </c>
      <c r="M29" s="841"/>
      <c r="N29" s="2002"/>
      <c r="P29" s="842"/>
    </row>
    <row r="30" spans="2:16" x14ac:dyDescent="0.25">
      <c r="B30" s="2034">
        <v>28</v>
      </c>
      <c r="C30" s="2027" t="s">
        <v>851</v>
      </c>
      <c r="D30" s="2025">
        <v>0.88</v>
      </c>
      <c r="E30" s="2026">
        <v>0.98000000000000009</v>
      </c>
      <c r="F30" s="2445">
        <v>1.18</v>
      </c>
      <c r="G30" s="2446">
        <v>1.33</v>
      </c>
      <c r="H30" s="2446">
        <v>3.96</v>
      </c>
      <c r="I30" s="2446">
        <v>4.47</v>
      </c>
      <c r="J30" s="2446">
        <v>5.93</v>
      </c>
      <c r="K30" s="2446">
        <v>8.64</v>
      </c>
      <c r="M30" s="841"/>
      <c r="N30" s="2002"/>
      <c r="P30" s="842"/>
    </row>
    <row r="31" spans="2:16" x14ac:dyDescent="0.25">
      <c r="B31" s="2034">
        <v>29</v>
      </c>
      <c r="C31" s="2027" t="s">
        <v>645</v>
      </c>
      <c r="D31" s="2447">
        <v>115.83</v>
      </c>
      <c r="E31" s="2448">
        <v>128.14999999999998</v>
      </c>
      <c r="F31" s="2449">
        <v>43.239999999999995</v>
      </c>
      <c r="G31" s="2446">
        <v>345.78999999999996</v>
      </c>
      <c r="H31" s="2446">
        <v>257.52</v>
      </c>
      <c r="I31" s="2446">
        <v>297.67</v>
      </c>
      <c r="J31" s="2446">
        <v>23.599999999999998</v>
      </c>
      <c r="K31" s="2446">
        <v>270.14999999999998</v>
      </c>
      <c r="M31" s="841"/>
      <c r="N31" s="2002"/>
      <c r="P31" s="842"/>
    </row>
    <row r="32" spans="2:16" x14ac:dyDescent="0.25">
      <c r="B32" s="2034">
        <v>30</v>
      </c>
      <c r="C32" s="2027" t="s">
        <v>223</v>
      </c>
      <c r="D32" s="2447">
        <v>204.75000000000003</v>
      </c>
      <c r="E32" s="2448">
        <v>175.60000000000002</v>
      </c>
      <c r="F32" s="2449">
        <v>144.51</v>
      </c>
      <c r="G32" s="2446">
        <v>196.31999999999996</v>
      </c>
      <c r="H32" s="2446">
        <v>259.74</v>
      </c>
      <c r="I32" s="2446">
        <v>423.57000000000005</v>
      </c>
      <c r="J32" s="2446">
        <v>299.18</v>
      </c>
      <c r="K32" s="2446">
        <v>373.01</v>
      </c>
      <c r="M32" s="841"/>
      <c r="N32" s="2002"/>
      <c r="P32" s="842"/>
    </row>
    <row r="33" spans="2:16" x14ac:dyDescent="0.25">
      <c r="B33" s="2034">
        <v>31</v>
      </c>
      <c r="C33" s="2027" t="s">
        <v>1496</v>
      </c>
      <c r="D33" s="2447">
        <v>2.08</v>
      </c>
      <c r="E33" s="2448">
        <v>0.39</v>
      </c>
      <c r="F33" s="2449">
        <v>0.30000000000000004</v>
      </c>
      <c r="G33" s="2446">
        <v>0.45</v>
      </c>
      <c r="H33" s="2446">
        <v>0.43</v>
      </c>
      <c r="I33" s="2446">
        <v>0.48</v>
      </c>
      <c r="J33" s="2446">
        <v>0.53</v>
      </c>
      <c r="K33" s="2446">
        <v>0.59000000000000008</v>
      </c>
      <c r="M33" s="841"/>
      <c r="N33" s="2002"/>
      <c r="P33" s="842"/>
    </row>
    <row r="34" spans="2:16" x14ac:dyDescent="0.25">
      <c r="B34" s="2034">
        <v>32</v>
      </c>
      <c r="C34" s="2027" t="s">
        <v>224</v>
      </c>
      <c r="D34" s="2447">
        <v>642.12</v>
      </c>
      <c r="E34" s="2448">
        <v>561.91999999999996</v>
      </c>
      <c r="F34" s="2449">
        <v>439.19</v>
      </c>
      <c r="G34" s="2446">
        <v>640.31999999999994</v>
      </c>
      <c r="H34" s="2446">
        <v>860.63000000000011</v>
      </c>
      <c r="I34" s="2446">
        <v>768.78</v>
      </c>
      <c r="J34" s="2446">
        <v>714.18</v>
      </c>
      <c r="K34" s="2446">
        <v>764.82000000000016</v>
      </c>
      <c r="M34" s="841"/>
      <c r="N34" s="2002"/>
      <c r="P34" s="842"/>
    </row>
    <row r="35" spans="2:16" x14ac:dyDescent="0.25">
      <c r="B35" s="2034">
        <v>33</v>
      </c>
      <c r="C35" s="2027" t="s">
        <v>691</v>
      </c>
      <c r="D35" s="2447">
        <v>18.78</v>
      </c>
      <c r="E35" s="2448">
        <v>20.63</v>
      </c>
      <c r="F35" s="2449">
        <v>22.4</v>
      </c>
      <c r="G35" s="2446">
        <v>44.75</v>
      </c>
      <c r="H35" s="2446">
        <v>32.75</v>
      </c>
      <c r="I35" s="2446">
        <v>58.709999999999994</v>
      </c>
      <c r="J35" s="2446">
        <v>41.41</v>
      </c>
      <c r="K35" s="2446">
        <v>68.839999999999989</v>
      </c>
      <c r="M35" s="841"/>
      <c r="N35" s="2002"/>
      <c r="P35" s="842"/>
    </row>
    <row r="36" spans="2:16" x14ac:dyDescent="0.25">
      <c r="B36" s="2034">
        <v>34</v>
      </c>
      <c r="C36" s="2027" t="s">
        <v>390</v>
      </c>
      <c r="D36" s="2447">
        <v>20.299999999999997</v>
      </c>
      <c r="E36" s="2448">
        <v>17.47</v>
      </c>
      <c r="F36" s="2449">
        <v>38.29</v>
      </c>
      <c r="G36" s="2446">
        <v>16.91</v>
      </c>
      <c r="H36" s="2446">
        <v>23</v>
      </c>
      <c r="I36" s="2446">
        <v>24.2</v>
      </c>
      <c r="J36" s="2446">
        <v>23.98</v>
      </c>
      <c r="K36" s="2446">
        <v>20.959999999999997</v>
      </c>
      <c r="M36" s="841"/>
      <c r="N36" s="2002"/>
      <c r="P36" s="842"/>
    </row>
    <row r="37" spans="2:16" x14ac:dyDescent="0.25">
      <c r="B37" s="2034">
        <v>35</v>
      </c>
      <c r="C37" s="2027" t="s">
        <v>709</v>
      </c>
      <c r="D37" s="2447">
        <v>616.29000000000008</v>
      </c>
      <c r="E37" s="2448">
        <v>619.16999999999996</v>
      </c>
      <c r="F37" s="2449">
        <v>602.95999999999992</v>
      </c>
      <c r="G37" s="2446">
        <v>826.77999999999986</v>
      </c>
      <c r="H37" s="2446">
        <v>859.29000000000008</v>
      </c>
      <c r="I37" s="2446">
        <v>957.62000000000012</v>
      </c>
      <c r="J37" s="2446">
        <v>917.29</v>
      </c>
      <c r="K37" s="2446">
        <v>1051.1400000000001</v>
      </c>
      <c r="M37" s="841"/>
      <c r="N37" s="2002"/>
      <c r="P37" s="842"/>
    </row>
    <row r="38" spans="2:16" x14ac:dyDescent="0.25">
      <c r="B38" s="2034">
        <v>36</v>
      </c>
      <c r="C38" s="2027" t="s">
        <v>757</v>
      </c>
      <c r="D38" s="2447">
        <v>6.330000000000001</v>
      </c>
      <c r="E38" s="2448">
        <v>6.8500000000000005</v>
      </c>
      <c r="F38" s="2449">
        <v>8.2200000000000006</v>
      </c>
      <c r="G38" s="2446">
        <v>7.3899999999999988</v>
      </c>
      <c r="H38" s="2446">
        <v>7.92</v>
      </c>
      <c r="I38" s="2446">
        <v>6.73</v>
      </c>
      <c r="J38" s="2446">
        <v>11.510000000000002</v>
      </c>
      <c r="K38" s="2446">
        <v>17.549999999999997</v>
      </c>
      <c r="M38" s="841"/>
      <c r="N38" s="2002"/>
      <c r="P38" s="842"/>
    </row>
    <row r="39" spans="2:16" x14ac:dyDescent="0.25">
      <c r="B39" s="2035">
        <v>37</v>
      </c>
      <c r="C39" s="2028" t="s">
        <v>225</v>
      </c>
      <c r="D39" s="2450">
        <v>545.41000000000031</v>
      </c>
      <c r="E39" s="2451">
        <v>553.25</v>
      </c>
      <c r="F39" s="2452">
        <v>417.62</v>
      </c>
      <c r="G39" s="2453">
        <v>673.58</v>
      </c>
      <c r="H39" s="2453">
        <v>897.49000000000012</v>
      </c>
      <c r="I39" s="2453">
        <v>767.70000000000016</v>
      </c>
      <c r="J39" s="2453">
        <v>688.70999999999992</v>
      </c>
      <c r="K39" s="2453">
        <v>784.84999999999991</v>
      </c>
      <c r="M39" s="841"/>
      <c r="P39" s="842"/>
    </row>
    <row r="40" spans="2:16" x14ac:dyDescent="0.25">
      <c r="B40" s="3827" t="s">
        <v>148</v>
      </c>
      <c r="C40" s="3827"/>
      <c r="D40" s="3827"/>
      <c r="E40" s="3827"/>
      <c r="F40" s="3827"/>
      <c r="G40" s="3827"/>
      <c r="H40" s="3827"/>
      <c r="I40" s="3827"/>
      <c r="J40" s="3827"/>
      <c r="K40" s="3827"/>
      <c r="P40" s="842"/>
    </row>
    <row r="41" spans="2:16" ht="30" x14ac:dyDescent="0.25">
      <c r="B41" s="2029">
        <v>1</v>
      </c>
      <c r="C41" s="2030" t="s">
        <v>2004</v>
      </c>
      <c r="D41" s="2031">
        <v>10.74</v>
      </c>
      <c r="E41" s="2032">
        <v>10.73</v>
      </c>
      <c r="F41" s="2033">
        <v>6.830000000000001</v>
      </c>
      <c r="G41" s="2454">
        <v>9.1999999999999993</v>
      </c>
      <c r="H41" s="2454">
        <v>15.39</v>
      </c>
      <c r="I41" s="2455">
        <v>48.47</v>
      </c>
      <c r="J41" s="2455">
        <v>12.13</v>
      </c>
      <c r="K41" s="2455">
        <v>15.59</v>
      </c>
      <c r="N41" s="2002"/>
      <c r="P41" s="842"/>
    </row>
    <row r="42" spans="2:16" x14ac:dyDescent="0.25">
      <c r="B42" s="2456"/>
      <c r="C42" s="2457" t="s">
        <v>2000</v>
      </c>
      <c r="D42" s="2458">
        <f t="shared" ref="D42:K42" si="0">SUM(D4:D39)+D41</f>
        <v>7961.409999999998</v>
      </c>
      <c r="E42" s="2459">
        <f t="shared" si="0"/>
        <v>7345.33</v>
      </c>
      <c r="F42" s="2431">
        <f t="shared" si="0"/>
        <v>6120.9000000000005</v>
      </c>
      <c r="G42" s="2460">
        <f t="shared" si="0"/>
        <v>11016.880000000001</v>
      </c>
      <c r="H42" s="2460">
        <f t="shared" si="0"/>
        <v>13187.610000000004</v>
      </c>
      <c r="I42" s="2460">
        <f t="shared" si="0"/>
        <v>12288.56</v>
      </c>
      <c r="J42" s="2460">
        <f t="shared" si="0"/>
        <v>11001.82</v>
      </c>
      <c r="K42" s="2460">
        <f t="shared" si="0"/>
        <v>11810.989999999998</v>
      </c>
      <c r="P42" s="842"/>
    </row>
    <row r="43" spans="2:16" x14ac:dyDescent="0.25">
      <c r="B43" s="955" t="s">
        <v>3000</v>
      </c>
      <c r="C43" s="950"/>
      <c r="D43" s="2003"/>
      <c r="E43" s="2003"/>
      <c r="F43" s="2003"/>
      <c r="G43" s="2003"/>
      <c r="H43" s="2003"/>
      <c r="I43" s="2003"/>
      <c r="J43" s="2003"/>
      <c r="K43" s="2004"/>
    </row>
    <row r="44" spans="2:16" x14ac:dyDescent="0.25">
      <c r="B44" s="956" t="s">
        <v>2399</v>
      </c>
      <c r="C44" s="2005"/>
      <c r="D44" s="2006"/>
      <c r="E44" s="2006"/>
      <c r="F44" s="2006"/>
      <c r="G44" s="2006"/>
      <c r="H44" s="2006"/>
      <c r="I44" s="2006"/>
      <c r="J44" s="2006"/>
      <c r="K44" s="2007"/>
    </row>
    <row r="45" spans="2:16" x14ac:dyDescent="0.25">
      <c r="B45" s="945" t="s">
        <v>2001</v>
      </c>
      <c r="C45" s="946"/>
      <c r="D45" s="942"/>
      <c r="E45" s="942"/>
      <c r="F45" s="942"/>
      <c r="G45" s="942"/>
      <c r="H45" s="942"/>
      <c r="I45" s="942"/>
      <c r="J45" s="942"/>
      <c r="K45" s="943"/>
    </row>
    <row r="47" spans="2:16" x14ac:dyDescent="0.25">
      <c r="B47" s="839"/>
    </row>
  </sheetData>
  <mergeCells count="3">
    <mergeCell ref="B1:K1"/>
    <mergeCell ref="B2:K2"/>
    <mergeCell ref="B40:K40"/>
  </mergeCells>
  <pageMargins left="0.7" right="0.7" top="0.75" bottom="0.75" header="0.3" footer="0.3"/>
  <pageSetup paperSize="9" scale="91" orientation="portrait" r:id="rId1"/>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4DBE83-C935-4336-BFEE-B0BF20F1AFED}">
  <sheetPr>
    <tabColor theme="0"/>
    <pageSetUpPr fitToPage="1"/>
  </sheetPr>
  <dimension ref="B1:L31"/>
  <sheetViews>
    <sheetView showGridLines="0" view="pageBreakPreview" topLeftCell="A7" zoomScaleNormal="100" zoomScaleSheetLayoutView="100" workbookViewId="0">
      <selection activeCell="B81" sqref="B81"/>
    </sheetView>
  </sheetViews>
  <sheetFormatPr defaultColWidth="9.140625" defaultRowHeight="15" x14ac:dyDescent="0.25"/>
  <cols>
    <col min="1" max="1" width="0.7109375" style="128" customWidth="1"/>
    <col min="2" max="2" width="13.7109375" style="844" customWidth="1"/>
    <col min="3" max="3" width="9.85546875" style="220" hidden="1" customWidth="1"/>
    <col min="4" max="4" width="11.140625" style="220" hidden="1" customWidth="1"/>
    <col min="5" max="5" width="8" style="220" hidden="1" customWidth="1"/>
    <col min="6" max="8" width="8.5703125" style="220" bestFit="1" customWidth="1"/>
    <col min="9" max="9" width="10.42578125" style="220" customWidth="1"/>
    <col min="10" max="10" width="11.140625" style="220" bestFit="1" customWidth="1"/>
    <col min="11" max="11" width="1.42578125" style="128" customWidth="1"/>
    <col min="12" max="13" width="9.140625" style="128"/>
    <col min="14" max="18" width="0" style="128" hidden="1" customWidth="1"/>
    <col min="19" max="16384" width="9.140625" style="128"/>
  </cols>
  <sheetData>
    <row r="1" spans="2:12" x14ac:dyDescent="0.25">
      <c r="B1" s="3839" t="s">
        <v>2005</v>
      </c>
      <c r="C1" s="3840"/>
      <c r="D1" s="3840"/>
      <c r="E1" s="3840"/>
      <c r="F1" s="3840"/>
      <c r="G1" s="3840"/>
      <c r="H1" s="3840"/>
      <c r="I1" s="3840"/>
      <c r="J1" s="3841"/>
    </row>
    <row r="2" spans="2:12" x14ac:dyDescent="0.25">
      <c r="B2" s="3842" t="s">
        <v>1964</v>
      </c>
      <c r="C2" s="3842"/>
      <c r="D2" s="3842"/>
      <c r="E2" s="3842"/>
      <c r="F2" s="3842"/>
      <c r="G2" s="3842"/>
      <c r="H2" s="3842"/>
      <c r="I2" s="3842"/>
      <c r="J2" s="3842"/>
    </row>
    <row r="3" spans="2:12" x14ac:dyDescent="0.25">
      <c r="B3" s="2008" t="s">
        <v>2006</v>
      </c>
      <c r="C3" s="2009" t="s">
        <v>7</v>
      </c>
      <c r="D3" s="2009" t="s">
        <v>8</v>
      </c>
      <c r="E3" s="2009" t="s">
        <v>76</v>
      </c>
      <c r="F3" s="2010" t="s">
        <v>10</v>
      </c>
      <c r="G3" s="2010" t="s">
        <v>11</v>
      </c>
      <c r="H3" s="2011" t="s">
        <v>382</v>
      </c>
      <c r="I3" s="2011" t="s">
        <v>2309</v>
      </c>
      <c r="J3" s="1977" t="s">
        <v>2479</v>
      </c>
      <c r="K3" s="832"/>
    </row>
    <row r="4" spans="2:12" x14ac:dyDescent="0.25">
      <c r="B4" s="3843" t="s">
        <v>2007</v>
      </c>
      <c r="C4" s="3844"/>
      <c r="D4" s="3844"/>
      <c r="E4" s="3844"/>
      <c r="F4" s="3844"/>
      <c r="G4" s="3844"/>
      <c r="H4" s="3844"/>
      <c r="I4" s="3844"/>
      <c r="J4" s="3845"/>
    </row>
    <row r="5" spans="2:12" x14ac:dyDescent="0.25">
      <c r="B5" s="2461" t="s">
        <v>243</v>
      </c>
      <c r="C5" s="2462">
        <v>26764.6</v>
      </c>
      <c r="D5" s="2462">
        <v>13463.68</v>
      </c>
      <c r="E5" s="2463">
        <v>11246.44</v>
      </c>
      <c r="F5" s="2464">
        <v>40305.74</v>
      </c>
      <c r="G5" s="2464">
        <v>38828.870000000003</v>
      </c>
      <c r="H5" s="2464">
        <v>40525.96</v>
      </c>
      <c r="I5" s="2464">
        <v>35610.32</v>
      </c>
      <c r="J5" s="2464">
        <v>32894.019999999997</v>
      </c>
    </row>
    <row r="6" spans="2:12" x14ac:dyDescent="0.25">
      <c r="B6" s="2461" t="s">
        <v>244</v>
      </c>
      <c r="C6" s="2462">
        <v>2590.1400000000003</v>
      </c>
      <c r="D6" s="2462">
        <v>2584.06</v>
      </c>
      <c r="E6" s="2463">
        <v>1741.59</v>
      </c>
      <c r="F6" s="2464">
        <v>3887.31</v>
      </c>
      <c r="G6" s="2464">
        <v>6810.4000000000005</v>
      </c>
      <c r="H6" s="2464">
        <v>5551.85</v>
      </c>
      <c r="I6" s="2464">
        <v>6114.1899999999987</v>
      </c>
      <c r="J6" s="2464">
        <v>4455.34</v>
      </c>
      <c r="L6" s="2012"/>
    </row>
    <row r="7" spans="2:12" x14ac:dyDescent="0.25">
      <c r="B7" s="2465" t="s">
        <v>1197</v>
      </c>
      <c r="C7" s="2466">
        <v>6025.67</v>
      </c>
      <c r="D7" s="2466">
        <v>6620.63</v>
      </c>
      <c r="E7" s="2463">
        <v>4890.18</v>
      </c>
      <c r="F7" s="2464">
        <v>10363.969999999999</v>
      </c>
      <c r="G7" s="2464">
        <v>5301.51</v>
      </c>
      <c r="H7" s="2464">
        <v>8836.48</v>
      </c>
      <c r="I7" s="2464">
        <v>11312.32</v>
      </c>
      <c r="J7" s="2464">
        <v>6968.3</v>
      </c>
      <c r="L7" s="2012"/>
    </row>
    <row r="8" spans="2:12" x14ac:dyDescent="0.25">
      <c r="B8" s="2467" t="s">
        <v>133</v>
      </c>
      <c r="C8" s="2468">
        <f t="shared" ref="C8:I8" si="0">SUM(C5:C7)</f>
        <v>35380.409999999996</v>
      </c>
      <c r="D8" s="2468">
        <f t="shared" si="0"/>
        <v>22668.37</v>
      </c>
      <c r="E8" s="2469">
        <f t="shared" si="0"/>
        <v>17878.21</v>
      </c>
      <c r="F8" s="2443">
        <f t="shared" si="0"/>
        <v>54557.02</v>
      </c>
      <c r="G8" s="2443">
        <f t="shared" si="0"/>
        <v>50940.780000000006</v>
      </c>
      <c r="H8" s="2443">
        <f t="shared" si="0"/>
        <v>54914.289999999994</v>
      </c>
      <c r="I8" s="2443">
        <f t="shared" si="0"/>
        <v>53036.829999999994</v>
      </c>
      <c r="J8" s="2443">
        <v>44317.66</v>
      </c>
    </row>
    <row r="9" spans="2:12" x14ac:dyDescent="0.25">
      <c r="B9" s="3846" t="s">
        <v>2008</v>
      </c>
      <c r="C9" s="3846"/>
      <c r="D9" s="3846"/>
      <c r="E9" s="3846"/>
      <c r="F9" s="3846"/>
      <c r="G9" s="3846"/>
      <c r="H9" s="3846"/>
      <c r="I9" s="3846"/>
      <c r="J9" s="3846"/>
    </row>
    <row r="10" spans="2:12" x14ac:dyDescent="0.25">
      <c r="B10" s="2470" t="s">
        <v>1112</v>
      </c>
      <c r="C10" s="2462">
        <v>16894.150000000001</v>
      </c>
      <c r="D10" s="2462">
        <v>1313.23</v>
      </c>
      <c r="E10" s="2463">
        <v>21836.04</v>
      </c>
      <c r="F10" s="2463">
        <v>24184.1</v>
      </c>
      <c r="G10" s="2463">
        <v>8241.82</v>
      </c>
      <c r="H10" s="2463">
        <v>39618.839999999997</v>
      </c>
      <c r="I10" s="2463">
        <v>12961.57</v>
      </c>
      <c r="J10" s="2464">
        <v>36802.42</v>
      </c>
    </row>
    <row r="11" spans="2:12" x14ac:dyDescent="0.25">
      <c r="B11" s="2461" t="s">
        <v>2009</v>
      </c>
      <c r="C11" s="2462">
        <v>7132.0199999999541</v>
      </c>
      <c r="D11" s="2462">
        <v>2683.19</v>
      </c>
      <c r="E11" s="2463">
        <v>19041.669999999998</v>
      </c>
      <c r="F11" s="2463">
        <f>3193+2841+2828+2501</f>
        <v>11363</v>
      </c>
      <c r="G11" s="2463">
        <v>1870.1000000000004</v>
      </c>
      <c r="H11" s="2463">
        <v>26673.5</v>
      </c>
      <c r="I11" s="2463">
        <v>13275.260000000002</v>
      </c>
      <c r="J11" s="2464">
        <v>23303.22</v>
      </c>
    </row>
    <row r="12" spans="2:12" x14ac:dyDescent="0.25">
      <c r="B12" s="2461" t="s">
        <v>1099</v>
      </c>
      <c r="C12" s="2462">
        <v>6028.6664519835094</v>
      </c>
      <c r="D12" s="2462">
        <v>2637.26</v>
      </c>
      <c r="E12" s="2463">
        <v>10663.88</v>
      </c>
      <c r="F12" s="2463">
        <v>6382.63</v>
      </c>
      <c r="G12" s="2471">
        <v>-8974.0299999999988</v>
      </c>
      <c r="H12" s="2463">
        <v>14693.829999999998</v>
      </c>
      <c r="I12" s="2463">
        <v>7364.8599999999988</v>
      </c>
      <c r="J12" s="2464">
        <v>17175.23</v>
      </c>
    </row>
    <row r="13" spans="2:12" x14ac:dyDescent="0.25">
      <c r="B13" s="2472" t="s">
        <v>133</v>
      </c>
      <c r="C13" s="2468">
        <f t="shared" ref="C13:I13" si="1">SUM(C10:C12)</f>
        <v>30054.836451983465</v>
      </c>
      <c r="D13" s="2468">
        <f t="shared" si="1"/>
        <v>6633.68</v>
      </c>
      <c r="E13" s="2469">
        <f t="shared" si="1"/>
        <v>51541.59</v>
      </c>
      <c r="F13" s="2469">
        <f t="shared" si="1"/>
        <v>41929.729999999996</v>
      </c>
      <c r="G13" s="2469">
        <f t="shared" si="1"/>
        <v>1137.8900000000012</v>
      </c>
      <c r="H13" s="2469">
        <f t="shared" si="1"/>
        <v>80986.17</v>
      </c>
      <c r="I13" s="2469">
        <f t="shared" si="1"/>
        <v>33601.69</v>
      </c>
      <c r="J13" s="2443">
        <v>77280.87</v>
      </c>
    </row>
    <row r="14" spans="2:12" x14ac:dyDescent="0.25">
      <c r="B14" s="3828" t="s">
        <v>2010</v>
      </c>
      <c r="C14" s="3829"/>
      <c r="D14" s="3829"/>
      <c r="E14" s="3829"/>
      <c r="F14" s="3829"/>
      <c r="G14" s="3829"/>
      <c r="H14" s="3829"/>
      <c r="I14" s="3829"/>
      <c r="J14" s="3830"/>
    </row>
    <row r="15" spans="2:12" x14ac:dyDescent="0.25">
      <c r="B15" s="2461" t="s">
        <v>1101</v>
      </c>
      <c r="C15" s="2462">
        <v>331.94999999999993</v>
      </c>
      <c r="D15" s="2473">
        <v>-2740.35</v>
      </c>
      <c r="E15" s="2471">
        <v>-240.46</v>
      </c>
      <c r="F15" s="2463">
        <v>2955.27</v>
      </c>
      <c r="G15" s="2463">
        <v>2638.3900000000003</v>
      </c>
      <c r="H15" s="2463">
        <v>3595.93</v>
      </c>
      <c r="I15" s="2463">
        <v>50.58</v>
      </c>
      <c r="J15" s="2463">
        <v>1931.22</v>
      </c>
    </row>
    <row r="16" spans="2:12" x14ac:dyDescent="0.25">
      <c r="B16" s="2461" t="s">
        <v>1100</v>
      </c>
      <c r="C16" s="2473">
        <v>-213.37000000000251</v>
      </c>
      <c r="D16" s="2473">
        <v>-2077.58</v>
      </c>
      <c r="E16" s="2463">
        <v>237.56</v>
      </c>
      <c r="F16" s="2463">
        <v>1342.42</v>
      </c>
      <c r="G16" s="2463">
        <v>3533.81</v>
      </c>
      <c r="H16" s="2463">
        <v>2711.25</v>
      </c>
      <c r="I16" s="2463">
        <v>173.53</v>
      </c>
      <c r="J16" s="2463">
        <v>3061.85</v>
      </c>
    </row>
    <row r="17" spans="2:10" x14ac:dyDescent="0.25">
      <c r="B17" s="2461" t="s">
        <v>1115</v>
      </c>
      <c r="C17" s="2462">
        <v>1968.0882605032175</v>
      </c>
      <c r="D17" s="2462">
        <v>1381.32</v>
      </c>
      <c r="E17" s="2463">
        <v>3036.09</v>
      </c>
      <c r="F17" s="2463">
        <v>3561.56</v>
      </c>
      <c r="G17" s="2463">
        <v>3702.7899999999995</v>
      </c>
      <c r="H17" s="2463">
        <v>2162.96</v>
      </c>
      <c r="I17" s="2463">
        <v>1607.77</v>
      </c>
      <c r="J17" s="2463">
        <v>3077.24</v>
      </c>
    </row>
    <row r="18" spans="2:10" x14ac:dyDescent="0.25">
      <c r="B18" s="2472" t="s">
        <v>133</v>
      </c>
      <c r="C18" s="2468">
        <f t="shared" ref="C18:I18" si="2">SUM(C15:C17)</f>
        <v>2086.6682605032147</v>
      </c>
      <c r="D18" s="2468">
        <f t="shared" si="2"/>
        <v>-3436.6100000000006</v>
      </c>
      <c r="E18" s="2469">
        <f t="shared" si="2"/>
        <v>3033.19</v>
      </c>
      <c r="F18" s="2469">
        <f t="shared" si="2"/>
        <v>7859.25</v>
      </c>
      <c r="G18" s="2469">
        <f t="shared" si="2"/>
        <v>9874.99</v>
      </c>
      <c r="H18" s="2469">
        <f t="shared" si="2"/>
        <v>8470.14</v>
      </c>
      <c r="I18" s="2469">
        <f t="shared" si="2"/>
        <v>1831.88</v>
      </c>
      <c r="J18" s="2469">
        <v>8070.3099999999995</v>
      </c>
    </row>
    <row r="19" spans="2:10" x14ac:dyDescent="0.25">
      <c r="B19" s="3828" t="s">
        <v>2011</v>
      </c>
      <c r="C19" s="3829"/>
      <c r="D19" s="3829"/>
      <c r="E19" s="3829"/>
      <c r="F19" s="3829"/>
      <c r="G19" s="3829"/>
      <c r="H19" s="3829"/>
      <c r="I19" s="3829"/>
      <c r="J19" s="3830"/>
    </row>
    <row r="20" spans="2:10" x14ac:dyDescent="0.25">
      <c r="B20" s="2461" t="s">
        <v>2012</v>
      </c>
      <c r="C20" s="2462">
        <v>370</v>
      </c>
      <c r="D20" s="2462">
        <v>430.24</v>
      </c>
      <c r="E20" s="2463">
        <v>259.5</v>
      </c>
      <c r="F20" s="2463">
        <v>344.41</v>
      </c>
      <c r="G20" s="2463">
        <v>342.15179999999998</v>
      </c>
      <c r="H20" s="2463">
        <v>356.99059999999997</v>
      </c>
      <c r="I20" s="2463">
        <v>465.23760000000004</v>
      </c>
      <c r="J20" s="2463">
        <v>638.75</v>
      </c>
    </row>
    <row r="21" spans="2:10" x14ac:dyDescent="0.25">
      <c r="B21" s="2472" t="s">
        <v>954</v>
      </c>
      <c r="C21" s="2468">
        <f t="shared" ref="C21:I21" si="3">+C20</f>
        <v>370</v>
      </c>
      <c r="D21" s="2468">
        <f t="shared" si="3"/>
        <v>430.24</v>
      </c>
      <c r="E21" s="2469">
        <f t="shared" si="3"/>
        <v>259.5</v>
      </c>
      <c r="F21" s="2469">
        <f t="shared" si="3"/>
        <v>344.41</v>
      </c>
      <c r="G21" s="2469">
        <f t="shared" si="3"/>
        <v>342.15179999999998</v>
      </c>
      <c r="H21" s="2469">
        <f t="shared" si="3"/>
        <v>356.99059999999997</v>
      </c>
      <c r="I21" s="2469">
        <f t="shared" si="3"/>
        <v>465.23760000000004</v>
      </c>
      <c r="J21" s="2469">
        <v>638.75</v>
      </c>
    </row>
    <row r="22" spans="2:10" x14ac:dyDescent="0.25">
      <c r="B22" s="3828" t="s">
        <v>2013</v>
      </c>
      <c r="C22" s="3829"/>
      <c r="D22" s="3829"/>
      <c r="E22" s="3829"/>
      <c r="F22" s="3829"/>
      <c r="G22" s="3829"/>
      <c r="H22" s="3829"/>
      <c r="I22" s="3829"/>
      <c r="J22" s="3830"/>
    </row>
    <row r="23" spans="2:10" x14ac:dyDescent="0.25">
      <c r="B23" s="2461" t="s">
        <v>2277</v>
      </c>
      <c r="C23" s="2462">
        <v>35163</v>
      </c>
      <c r="D23" s="2462">
        <v>30903</v>
      </c>
      <c r="E23" s="2463">
        <v>31944</v>
      </c>
      <c r="F23" s="2463">
        <v>39084</v>
      </c>
      <c r="G23" s="2463">
        <v>44190</v>
      </c>
      <c r="H23" s="2463">
        <v>42042</v>
      </c>
      <c r="I23" s="2463">
        <v>35262</v>
      </c>
      <c r="J23" s="2464">
        <v>43851</v>
      </c>
    </row>
    <row r="24" spans="2:10" x14ac:dyDescent="0.25">
      <c r="B24" s="2461" t="s">
        <v>1107</v>
      </c>
      <c r="C24" s="2462">
        <v>344</v>
      </c>
      <c r="D24" s="2462">
        <v>2518.3000000000002</v>
      </c>
      <c r="E24" s="2463">
        <v>466.5</v>
      </c>
      <c r="F24" s="2463">
        <v>1029.9000000000001</v>
      </c>
      <c r="G24" s="2463">
        <f>95916/10</f>
        <v>9591.6</v>
      </c>
      <c r="H24" s="2463">
        <f>120852/10</f>
        <v>12085.2</v>
      </c>
      <c r="I24" s="2463">
        <v>6061.3</v>
      </c>
      <c r="J24" s="2464" t="s">
        <v>2884</v>
      </c>
    </row>
    <row r="25" spans="2:10" x14ac:dyDescent="0.25">
      <c r="B25" s="2474" t="s">
        <v>133</v>
      </c>
      <c r="C25" s="2475">
        <f t="shared" ref="C25:I25" si="4">SUM(C23:C24)</f>
        <v>35507</v>
      </c>
      <c r="D25" s="2475">
        <f t="shared" si="4"/>
        <v>33421.300000000003</v>
      </c>
      <c r="E25" s="2476">
        <f t="shared" si="4"/>
        <v>32410.5</v>
      </c>
      <c r="F25" s="2476">
        <f t="shared" si="4"/>
        <v>40113.9</v>
      </c>
      <c r="G25" s="2476">
        <f t="shared" si="4"/>
        <v>53781.599999999999</v>
      </c>
      <c r="H25" s="2476">
        <f t="shared" si="4"/>
        <v>54127.199999999997</v>
      </c>
      <c r="I25" s="2476">
        <f t="shared" si="4"/>
        <v>41323.300000000003</v>
      </c>
      <c r="J25" s="2477">
        <v>43851</v>
      </c>
    </row>
    <row r="26" spans="2:10" ht="11.1" customHeight="1" x14ac:dyDescent="0.25">
      <c r="B26" s="3831"/>
      <c r="C26" s="3832"/>
      <c r="D26" s="3832"/>
      <c r="E26" s="3832"/>
      <c r="F26" s="3832"/>
      <c r="G26" s="2013"/>
      <c r="H26" s="2013"/>
      <c r="I26" s="2013"/>
      <c r="J26" s="1992"/>
    </row>
    <row r="27" spans="2:10" x14ac:dyDescent="0.25">
      <c r="B27" s="2014" t="s">
        <v>2885</v>
      </c>
      <c r="C27" s="838"/>
      <c r="D27" s="838"/>
      <c r="E27" s="838"/>
      <c r="F27" s="838"/>
      <c r="G27" s="838"/>
      <c r="H27" s="838"/>
      <c r="I27" s="838"/>
      <c r="J27" s="840"/>
    </row>
    <row r="28" spans="2:10" ht="15.75" customHeight="1" x14ac:dyDescent="0.25">
      <c r="B28" s="3833" t="s">
        <v>2886</v>
      </c>
      <c r="C28" s="3834"/>
      <c r="D28" s="3834"/>
      <c r="E28" s="3834"/>
      <c r="F28" s="3834"/>
      <c r="G28" s="3834"/>
      <c r="H28" s="3834"/>
      <c r="I28" s="3834"/>
      <c r="J28" s="3835"/>
    </row>
    <row r="29" spans="2:10" ht="65.25" customHeight="1" x14ac:dyDescent="0.25">
      <c r="B29" s="3836" t="s">
        <v>2887</v>
      </c>
      <c r="C29" s="3837"/>
      <c r="D29" s="3837"/>
      <c r="E29" s="3837"/>
      <c r="F29" s="3837"/>
      <c r="G29" s="3837"/>
      <c r="H29" s="3837"/>
      <c r="I29" s="3837"/>
      <c r="J29" s="3838"/>
    </row>
    <row r="31" spans="2:10" x14ac:dyDescent="0.25">
      <c r="B31" s="843"/>
    </row>
  </sheetData>
  <mergeCells count="10">
    <mergeCell ref="B22:J22"/>
    <mergeCell ref="B26:F26"/>
    <mergeCell ref="B28:J28"/>
    <mergeCell ref="B29:J29"/>
    <mergeCell ref="B1:J1"/>
    <mergeCell ref="B2:J2"/>
    <mergeCell ref="B4:J4"/>
    <mergeCell ref="B9:J9"/>
    <mergeCell ref="B14:J14"/>
    <mergeCell ref="B19:J19"/>
  </mergeCells>
  <pageMargins left="0.7" right="0.7" top="0.75" bottom="0.75" header="0.3" footer="0.3"/>
  <pageSetup paperSize="9" orientation="portrait" r:id="rId1"/>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1E0ABB-E37E-446D-A00B-4BC92F066737}">
  <sheetPr>
    <tabColor theme="0"/>
    <pageSetUpPr fitToPage="1"/>
  </sheetPr>
  <dimension ref="B1:L48"/>
  <sheetViews>
    <sheetView showGridLines="0" view="pageBreakPreview" zoomScale="70" zoomScaleNormal="70" zoomScaleSheetLayoutView="70" workbookViewId="0">
      <selection activeCell="B81" sqref="B81"/>
    </sheetView>
  </sheetViews>
  <sheetFormatPr defaultColWidth="9.140625" defaultRowHeight="15" x14ac:dyDescent="0.25"/>
  <cols>
    <col min="1" max="1" width="2.85546875" style="128" customWidth="1"/>
    <col min="2" max="2" width="35.140625" style="128" customWidth="1"/>
    <col min="3" max="5" width="13" style="220" bestFit="1" customWidth="1"/>
    <col min="6" max="6" width="12.5703125" style="220" bestFit="1" customWidth="1"/>
    <col min="7" max="7" width="11.140625" style="220" bestFit="1" customWidth="1"/>
    <col min="8" max="9" width="12.5703125" style="220" bestFit="1" customWidth="1"/>
    <col min="10" max="10" width="10.7109375" style="220" bestFit="1" customWidth="1"/>
    <col min="11" max="11" width="10.7109375" style="220" customWidth="1"/>
    <col min="12" max="12" width="13" style="220" bestFit="1" customWidth="1"/>
    <col min="13" max="16384" width="9.140625" style="128"/>
  </cols>
  <sheetData>
    <row r="1" spans="2:12" ht="25.5" customHeight="1" thickBot="1" x14ac:dyDescent="0.3">
      <c r="B1" s="3848" t="s">
        <v>2426</v>
      </c>
      <c r="C1" s="3849"/>
      <c r="D1" s="3849"/>
      <c r="E1" s="3849"/>
      <c r="F1" s="3849"/>
      <c r="G1" s="3849"/>
      <c r="H1" s="3849"/>
      <c r="I1" s="3849"/>
      <c r="J1" s="3849"/>
      <c r="K1" s="3849"/>
      <c r="L1" s="3850"/>
    </row>
    <row r="2" spans="2:12" x14ac:dyDescent="0.25">
      <c r="B2" s="3851"/>
      <c r="C2" s="3851"/>
      <c r="D2" s="3851"/>
      <c r="E2" s="3851"/>
      <c r="F2" s="3851"/>
      <c r="G2" s="3851"/>
      <c r="H2" s="3851"/>
      <c r="I2" s="3851"/>
      <c r="J2" s="3851"/>
      <c r="K2" s="3851"/>
      <c r="L2" s="3851"/>
    </row>
    <row r="3" spans="2:12" ht="15.75" x14ac:dyDescent="0.25">
      <c r="B3" s="3852" t="s">
        <v>2309</v>
      </c>
      <c r="C3" s="3852"/>
      <c r="D3" s="3852"/>
      <c r="E3" s="3852"/>
      <c r="F3" s="3852"/>
      <c r="G3" s="3852"/>
      <c r="H3" s="3852"/>
      <c r="I3" s="3852"/>
      <c r="J3" s="3852"/>
      <c r="K3" s="3852"/>
      <c r="L3" s="3852"/>
    </row>
    <row r="4" spans="2:12" x14ac:dyDescent="0.25">
      <c r="B4" s="1320" t="s">
        <v>4</v>
      </c>
      <c r="C4" s="1319" t="s">
        <v>1112</v>
      </c>
      <c r="D4" s="1319" t="s">
        <v>1098</v>
      </c>
      <c r="E4" s="1319" t="s">
        <v>1099</v>
      </c>
      <c r="F4" s="1319" t="s">
        <v>243</v>
      </c>
      <c r="G4" s="1319" t="s">
        <v>244</v>
      </c>
      <c r="H4" s="1319" t="s">
        <v>1197</v>
      </c>
      <c r="I4" s="1319" t="s">
        <v>1101</v>
      </c>
      <c r="J4" s="1319" t="s">
        <v>1100</v>
      </c>
      <c r="K4" s="1319" t="s">
        <v>1115</v>
      </c>
      <c r="L4" s="1319" t="s">
        <v>1105</v>
      </c>
    </row>
    <row r="5" spans="2:12" x14ac:dyDescent="0.25">
      <c r="B5" s="3847" t="s">
        <v>1964</v>
      </c>
      <c r="C5" s="3847"/>
      <c r="D5" s="3847"/>
      <c r="E5" s="3847"/>
      <c r="F5" s="3847"/>
      <c r="G5" s="3847"/>
      <c r="H5" s="3847"/>
      <c r="I5" s="3847"/>
      <c r="J5" s="3847"/>
      <c r="K5" s="3847"/>
      <c r="L5" s="3847"/>
    </row>
    <row r="6" spans="2:12" x14ac:dyDescent="0.25">
      <c r="B6" s="1321" t="s">
        <v>2014</v>
      </c>
      <c r="C6" s="2015">
        <v>840842.28</v>
      </c>
      <c r="D6" s="2015">
        <v>498869.01</v>
      </c>
      <c r="E6" s="2015">
        <v>464246.96</v>
      </c>
      <c r="F6" s="2015">
        <v>137360.97</v>
      </c>
      <c r="G6" s="2015">
        <v>21544.99</v>
      </c>
      <c r="H6" s="2015">
        <v>136960.48000000001</v>
      </c>
      <c r="I6" s="2015">
        <v>109239.36</v>
      </c>
      <c r="J6" s="2015">
        <v>71049.91</v>
      </c>
      <c r="K6" s="2015">
        <v>25143.86</v>
      </c>
      <c r="L6" s="2015">
        <v>557163</v>
      </c>
    </row>
    <row r="7" spans="2:12" x14ac:dyDescent="0.25">
      <c r="B7" s="1321" t="s">
        <v>2015</v>
      </c>
      <c r="C7" s="2015">
        <v>24613.93</v>
      </c>
      <c r="D7" s="2015">
        <v>19552.759999999998</v>
      </c>
      <c r="E7" s="2015">
        <v>12932.38</v>
      </c>
      <c r="F7" s="2015">
        <v>51363.78</v>
      </c>
      <c r="G7" s="2015">
        <v>8717.27</v>
      </c>
      <c r="H7" s="2015">
        <v>15568.73</v>
      </c>
      <c r="I7" s="2015">
        <v>1121.51</v>
      </c>
      <c r="J7" s="2015">
        <v>452.62</v>
      </c>
      <c r="K7" s="2015">
        <v>2260.17</v>
      </c>
      <c r="L7" s="2016">
        <v>56182</v>
      </c>
    </row>
    <row r="8" spans="2:12" x14ac:dyDescent="0.25">
      <c r="B8" s="1321" t="s">
        <v>2016</v>
      </c>
      <c r="C8" s="2015">
        <v>8731.59</v>
      </c>
      <c r="D8" s="2015">
        <v>1888.43</v>
      </c>
      <c r="E8" s="2015">
        <v>3310.91</v>
      </c>
      <c r="F8" s="2015">
        <v>4603.97</v>
      </c>
      <c r="G8" s="2015">
        <v>866.32</v>
      </c>
      <c r="H8" s="2015">
        <v>744.17</v>
      </c>
      <c r="I8" s="2015">
        <v>1008.25</v>
      </c>
      <c r="J8" s="2015">
        <v>244.52</v>
      </c>
      <c r="K8" s="2015">
        <v>44.89</v>
      </c>
      <c r="L8" s="2015">
        <v>10054</v>
      </c>
    </row>
    <row r="9" spans="2:12" x14ac:dyDescent="0.25">
      <c r="B9" s="1321" t="s">
        <v>2017</v>
      </c>
      <c r="C9" s="2015">
        <v>2920.78</v>
      </c>
      <c r="D9" s="2015">
        <v>4389.07</v>
      </c>
      <c r="E9" s="2015">
        <v>2256.61</v>
      </c>
      <c r="F9" s="2015">
        <v>11149.49</v>
      </c>
      <c r="G9" s="2015">
        <v>1736.76</v>
      </c>
      <c r="H9" s="2015">
        <v>3512.24</v>
      </c>
      <c r="I9" s="2015">
        <v>62.68</v>
      </c>
      <c r="J9" s="2015">
        <v>34.57</v>
      </c>
      <c r="K9" s="2015">
        <v>607.51</v>
      </c>
      <c r="L9" s="2016">
        <v>10866</v>
      </c>
    </row>
    <row r="10" spans="2:12" x14ac:dyDescent="0.25">
      <c r="B10" s="1321" t="s">
        <v>2018</v>
      </c>
      <c r="C10" s="2015">
        <v>12961.56</v>
      </c>
      <c r="D10" s="2015">
        <v>13275.26</v>
      </c>
      <c r="E10" s="2015">
        <v>7364.86</v>
      </c>
      <c r="F10" s="2015">
        <v>35610.32</v>
      </c>
      <c r="G10" s="2015">
        <v>6114.19</v>
      </c>
      <c r="H10" s="2015">
        <v>11312.32</v>
      </c>
      <c r="I10" s="2015">
        <v>50.58</v>
      </c>
      <c r="J10" s="2015">
        <v>173.53</v>
      </c>
      <c r="K10" s="2015">
        <v>1607.77</v>
      </c>
      <c r="L10" s="2017">
        <v>35262</v>
      </c>
    </row>
    <row r="11" spans="2:12" x14ac:dyDescent="0.25">
      <c r="B11" s="1321" t="s">
        <v>2019</v>
      </c>
      <c r="C11" s="2015">
        <v>178676.86</v>
      </c>
      <c r="D11" s="2015">
        <v>80960.09</v>
      </c>
      <c r="E11" s="2015">
        <v>45958.3</v>
      </c>
      <c r="F11" s="2015">
        <v>316283.58</v>
      </c>
      <c r="G11" s="2015">
        <v>45434.9</v>
      </c>
      <c r="H11" s="2015">
        <v>70563.69</v>
      </c>
      <c r="I11" s="2015">
        <v>12933.78</v>
      </c>
      <c r="J11" s="2015">
        <v>7938.5</v>
      </c>
      <c r="K11" s="2015">
        <v>16069.4</v>
      </c>
      <c r="L11" s="2015">
        <v>543087</v>
      </c>
    </row>
    <row r="12" spans="2:12" x14ac:dyDescent="0.25">
      <c r="B12" s="1321" t="s">
        <v>2020</v>
      </c>
      <c r="C12" s="2015">
        <v>134465.54</v>
      </c>
      <c r="D12" s="2015">
        <v>23277.72</v>
      </c>
      <c r="E12" s="2015">
        <v>63323.37</v>
      </c>
      <c r="F12" s="2015">
        <v>8407.68</v>
      </c>
      <c r="G12" s="2015">
        <v>12073.82</v>
      </c>
      <c r="H12" s="2015">
        <v>13576.76</v>
      </c>
      <c r="I12" s="2015">
        <v>12866.61</v>
      </c>
      <c r="J12" s="2015">
        <v>3100.44</v>
      </c>
      <c r="K12" s="2015">
        <v>13434.45</v>
      </c>
      <c r="L12" s="2016">
        <v>198813</v>
      </c>
    </row>
    <row r="13" spans="2:12" x14ac:dyDescent="0.25">
      <c r="B13" s="1322" t="s">
        <v>2021</v>
      </c>
      <c r="C13" s="2018"/>
      <c r="D13" s="2018"/>
      <c r="E13" s="2018"/>
      <c r="F13" s="2018"/>
      <c r="G13" s="2018"/>
      <c r="H13" s="2018"/>
      <c r="I13" s="2018"/>
      <c r="J13" s="2018"/>
      <c r="K13" s="2018"/>
      <c r="L13" s="2018"/>
    </row>
    <row r="14" spans="2:12" x14ac:dyDescent="0.25">
      <c r="B14" s="1321" t="s">
        <v>2022</v>
      </c>
      <c r="C14" s="2158">
        <f>+C10/C6</f>
        <v>1.5414971759031906E-2</v>
      </c>
      <c r="D14" s="2158">
        <f t="shared" ref="D14:L14" si="0">+D10/D6</f>
        <v>2.661071290036637E-2</v>
      </c>
      <c r="E14" s="2158">
        <f t="shared" si="0"/>
        <v>1.5864099573209913E-2</v>
      </c>
      <c r="F14" s="2158">
        <f t="shared" si="0"/>
        <v>0.25924627643500187</v>
      </c>
      <c r="G14" s="2158">
        <f t="shared" si="0"/>
        <v>0.2837870892490551</v>
      </c>
      <c r="H14" s="2158">
        <f t="shared" si="0"/>
        <v>8.2595504922295823E-2</v>
      </c>
      <c r="I14" s="2158">
        <f t="shared" si="0"/>
        <v>4.6301992248947631E-4</v>
      </c>
      <c r="J14" s="2158">
        <f t="shared" si="0"/>
        <v>2.4423676257999483E-3</v>
      </c>
      <c r="K14" s="2158">
        <f t="shared" si="0"/>
        <v>6.394284727961419E-2</v>
      </c>
      <c r="L14" s="2158">
        <f t="shared" si="0"/>
        <v>6.3288481108759911E-2</v>
      </c>
    </row>
    <row r="15" spans="2:12" x14ac:dyDescent="0.25">
      <c r="B15" s="1321" t="s">
        <v>2023</v>
      </c>
      <c r="C15" s="2159">
        <v>0.75</v>
      </c>
      <c r="D15" s="2159">
        <v>0.28999999999999998</v>
      </c>
      <c r="E15" s="2159">
        <v>1.38</v>
      </c>
      <c r="F15" s="2159">
        <v>0.03</v>
      </c>
      <c r="G15" s="2159">
        <v>0.27</v>
      </c>
      <c r="H15" s="2159">
        <v>0.19</v>
      </c>
      <c r="I15" s="2159">
        <v>0.99</v>
      </c>
      <c r="J15" s="2159">
        <v>0.39</v>
      </c>
      <c r="K15" s="2159">
        <v>0.83602699874436393</v>
      </c>
      <c r="L15" s="2160">
        <v>0.37</v>
      </c>
    </row>
    <row r="16" spans="2:12" x14ac:dyDescent="0.25">
      <c r="B16" s="1321" t="s">
        <v>2024</v>
      </c>
      <c r="C16" s="2160">
        <v>9.41</v>
      </c>
      <c r="D16" s="2160">
        <v>31.07</v>
      </c>
      <c r="E16" s="2160">
        <v>34.61</v>
      </c>
      <c r="F16" s="2159">
        <v>28.31</v>
      </c>
      <c r="G16" s="2159">
        <v>37.590000000000003</v>
      </c>
      <c r="H16" s="2159">
        <v>17.2</v>
      </c>
      <c r="I16" s="2160">
        <v>0.28999999999999998</v>
      </c>
      <c r="J16" s="2160">
        <v>11.65</v>
      </c>
      <c r="K16" s="2160">
        <v>10.238895248402768</v>
      </c>
      <c r="L16" s="2160">
        <v>26.06</v>
      </c>
    </row>
    <row r="17" spans="2:12" x14ac:dyDescent="0.25">
      <c r="B17" s="3853"/>
      <c r="C17" s="3853"/>
      <c r="D17" s="3853"/>
      <c r="E17" s="3853"/>
      <c r="F17" s="3853"/>
      <c r="G17" s="3853"/>
      <c r="H17" s="3853"/>
      <c r="I17" s="3853"/>
      <c r="J17" s="3853"/>
      <c r="K17" s="3853"/>
      <c r="L17" s="3853"/>
    </row>
    <row r="18" spans="2:12" hidden="1" x14ac:dyDescent="0.25">
      <c r="B18" s="3854" t="s">
        <v>2495</v>
      </c>
      <c r="C18" s="3854"/>
      <c r="D18" s="3854"/>
      <c r="E18" s="3854"/>
      <c r="F18" s="3854"/>
      <c r="G18" s="3854"/>
      <c r="H18" s="3854"/>
      <c r="I18" s="3854"/>
      <c r="J18" s="3854"/>
      <c r="K18" s="3854"/>
      <c r="L18" s="3854"/>
    </row>
    <row r="19" spans="2:12" hidden="1" x14ac:dyDescent="0.25">
      <c r="B19" s="1320" t="s">
        <v>4</v>
      </c>
      <c r="C19" s="1319" t="s">
        <v>1112</v>
      </c>
      <c r="D19" s="1319" t="s">
        <v>1098</v>
      </c>
      <c r="E19" s="1319" t="s">
        <v>1099</v>
      </c>
      <c r="F19" s="1319" t="s">
        <v>243</v>
      </c>
      <c r="G19" s="1319" t="s">
        <v>244</v>
      </c>
      <c r="H19" s="1319" t="s">
        <v>1197</v>
      </c>
      <c r="I19" s="1319" t="s">
        <v>1101</v>
      </c>
      <c r="J19" s="1319" t="s">
        <v>1100</v>
      </c>
      <c r="K19" s="1319" t="s">
        <v>1115</v>
      </c>
      <c r="L19" s="1319" t="s">
        <v>1105</v>
      </c>
    </row>
    <row r="20" spans="2:12" hidden="1" x14ac:dyDescent="0.25">
      <c r="B20" s="3847" t="s">
        <v>1964</v>
      </c>
      <c r="C20" s="3847"/>
      <c r="D20" s="3847"/>
      <c r="E20" s="3847"/>
      <c r="F20" s="3847"/>
      <c r="G20" s="3847"/>
      <c r="H20" s="3847"/>
      <c r="I20" s="3847"/>
      <c r="J20" s="3847"/>
      <c r="K20" s="3847"/>
      <c r="L20" s="3847"/>
    </row>
    <row r="21" spans="2:12" hidden="1" x14ac:dyDescent="0.25">
      <c r="B21" s="1321" t="s">
        <v>2014</v>
      </c>
      <c r="C21" s="1323">
        <v>643284.68999999994</v>
      </c>
      <c r="D21" s="1323">
        <v>373766.58</v>
      </c>
      <c r="E21" s="1323">
        <v>338873.98</v>
      </c>
      <c r="F21" s="1323">
        <v>103272.66</v>
      </c>
      <c r="G21" s="1323">
        <v>16007.23</v>
      </c>
      <c r="H21" s="1323">
        <v>98033.83</v>
      </c>
      <c r="I21" s="1323">
        <v>76004.88</v>
      </c>
      <c r="J21" s="1323">
        <v>58394.61</v>
      </c>
      <c r="K21" s="1323">
        <v>16264.14</v>
      </c>
      <c r="L21" s="1323">
        <v>415650</v>
      </c>
    </row>
    <row r="22" spans="2:12" hidden="1" x14ac:dyDescent="0.25">
      <c r="B22" s="1321" t="s">
        <v>2015</v>
      </c>
      <c r="C22" s="1323">
        <v>51316.3</v>
      </c>
      <c r="D22" s="1323">
        <v>31853.759999999998</v>
      </c>
      <c r="E22" s="1323">
        <v>17622.73</v>
      </c>
      <c r="F22" s="1323">
        <v>43202.29</v>
      </c>
      <c r="G22" s="1323">
        <v>4791.75</v>
      </c>
      <c r="H22" s="1323">
        <v>9216.86</v>
      </c>
      <c r="I22" s="1323">
        <v>4607.59</v>
      </c>
      <c r="J22" s="1323">
        <v>2988.69</v>
      </c>
      <c r="K22" s="1323">
        <v>2049.5</v>
      </c>
      <c r="L22" s="1323">
        <f>+L25+L23+L24</f>
        <v>50039</v>
      </c>
    </row>
    <row r="23" spans="2:12" hidden="1" x14ac:dyDescent="0.25">
      <c r="B23" s="1321" t="s">
        <v>2016</v>
      </c>
      <c r="C23" s="1323">
        <v>5304.39</v>
      </c>
      <c r="D23" s="1323">
        <v>1948.75</v>
      </c>
      <c r="E23" s="1323">
        <v>1781.66</v>
      </c>
      <c r="F23" s="1323">
        <v>3046.46</v>
      </c>
      <c r="G23" s="1323">
        <v>570.77</v>
      </c>
      <c r="H23" s="1323">
        <v>504.06</v>
      </c>
      <c r="I23" s="1323">
        <v>852.1</v>
      </c>
      <c r="J23" s="1323">
        <v>172.34</v>
      </c>
      <c r="K23" s="1323">
        <v>31.19</v>
      </c>
      <c r="L23" s="1323">
        <v>9817</v>
      </c>
    </row>
    <row r="24" spans="2:12" hidden="1" x14ac:dyDescent="0.25">
      <c r="B24" s="1321" t="s">
        <v>2017</v>
      </c>
      <c r="C24" s="1323">
        <v>11230.76</v>
      </c>
      <c r="D24" s="1323">
        <v>7455.69</v>
      </c>
      <c r="E24" s="1323">
        <v>3989.99</v>
      </c>
      <c r="F24" s="1323">
        <v>9499.24</v>
      </c>
      <c r="G24" s="1323">
        <v>697.96</v>
      </c>
      <c r="H24" s="1323">
        <v>2053.29</v>
      </c>
      <c r="I24" s="1323">
        <v>1296.4000000000001</v>
      </c>
      <c r="J24" s="1323">
        <v>717.48</v>
      </c>
      <c r="K24" s="1323">
        <v>501.63</v>
      </c>
      <c r="L24" s="716">
        <f>7710+1753</f>
        <v>9463</v>
      </c>
    </row>
    <row r="25" spans="2:12" hidden="1" x14ac:dyDescent="0.25">
      <c r="B25" s="1321" t="s">
        <v>2018</v>
      </c>
      <c r="C25" s="1323">
        <v>34781.15</v>
      </c>
      <c r="D25" s="1323">
        <v>22449.32</v>
      </c>
      <c r="E25" s="1323">
        <v>11851.08</v>
      </c>
      <c r="F25" s="1323">
        <v>30656.59</v>
      </c>
      <c r="G25" s="1323">
        <v>3523.02</v>
      </c>
      <c r="H25" s="1323">
        <v>6659.51</v>
      </c>
      <c r="I25" s="1323">
        <v>2459.09</v>
      </c>
      <c r="J25" s="1323">
        <v>2098.87</v>
      </c>
      <c r="K25" s="1323">
        <v>1516.68</v>
      </c>
      <c r="L25" s="1324">
        <v>30759</v>
      </c>
    </row>
    <row r="26" spans="2:12" hidden="1" x14ac:dyDescent="0.25">
      <c r="B26" s="1321" t="s">
        <v>2019</v>
      </c>
      <c r="C26" s="1323">
        <v>165144.04999999999</v>
      </c>
      <c r="D26" s="1323">
        <v>69477.320000000007</v>
      </c>
      <c r="E26" s="1323">
        <v>39927.879999999997</v>
      </c>
      <c r="F26" s="1323">
        <v>290822.8</v>
      </c>
      <c r="G26" s="1323">
        <v>40684.269999999997</v>
      </c>
      <c r="H26" s="1323">
        <v>63949.19</v>
      </c>
      <c r="I26" s="1323">
        <v>12293.77</v>
      </c>
      <c r="J26" s="1323">
        <v>7977.77</v>
      </c>
      <c r="K26" s="1323">
        <v>13734.06</v>
      </c>
      <c r="L26" s="1324">
        <v>485669</v>
      </c>
    </row>
    <row r="27" spans="2:12" hidden="1" x14ac:dyDescent="0.25">
      <c r="B27" s="1321" t="s">
        <v>2020</v>
      </c>
      <c r="C27" s="1323">
        <v>106190.42</v>
      </c>
      <c r="D27" s="1323">
        <v>16016.8</v>
      </c>
      <c r="E27" s="1323">
        <v>49998.91</v>
      </c>
      <c r="F27" s="1323">
        <v>5482.63</v>
      </c>
      <c r="G27" s="1323">
        <v>11312.69</v>
      </c>
      <c r="H27" s="1323">
        <v>14195.16</v>
      </c>
      <c r="I27" s="1323">
        <v>14013.41</v>
      </c>
      <c r="J27" s="1323">
        <v>4773.8100000000004</v>
      </c>
      <c r="K27" s="1323">
        <v>6783.42</v>
      </c>
      <c r="L27" s="1325"/>
    </row>
    <row r="28" spans="2:12" hidden="1" x14ac:dyDescent="0.25">
      <c r="B28" s="1322" t="s">
        <v>2021</v>
      </c>
      <c r="C28" s="1326"/>
      <c r="D28" s="1326"/>
      <c r="E28" s="1326"/>
      <c r="F28" s="1326"/>
      <c r="G28" s="1326"/>
      <c r="H28" s="1326"/>
      <c r="I28" s="1326"/>
      <c r="J28" s="1326"/>
      <c r="K28" s="1326"/>
      <c r="L28" s="1326"/>
    </row>
    <row r="29" spans="2:12" hidden="1" x14ac:dyDescent="0.25">
      <c r="B29" s="1321" t="s">
        <v>2022</v>
      </c>
      <c r="C29" s="2019">
        <f t="shared" ref="C29:L29" si="1">+C25/C21</f>
        <v>5.4068051891612727E-2</v>
      </c>
      <c r="D29" s="2019">
        <f t="shared" si="1"/>
        <v>6.006240579347677E-2</v>
      </c>
      <c r="E29" s="2019">
        <f t="shared" si="1"/>
        <v>3.49719385359714E-2</v>
      </c>
      <c r="F29" s="2019">
        <f t="shared" si="1"/>
        <v>0.29685097682193912</v>
      </c>
      <c r="G29" s="2019">
        <f t="shared" si="1"/>
        <v>0.22008929714885087</v>
      </c>
      <c r="H29" s="2019">
        <f t="shared" si="1"/>
        <v>6.7930733706925456E-2</v>
      </c>
      <c r="I29" s="2019">
        <f t="shared" si="1"/>
        <v>3.2354369877302613E-2</v>
      </c>
      <c r="J29" s="2019">
        <f t="shared" si="1"/>
        <v>3.5942872124670407E-2</v>
      </c>
      <c r="K29" s="2019">
        <f t="shared" si="1"/>
        <v>9.3253009381375235E-2</v>
      </c>
      <c r="L29" s="2019">
        <f t="shared" si="1"/>
        <v>7.4002165283291232E-2</v>
      </c>
    </row>
    <row r="30" spans="2:12" hidden="1" x14ac:dyDescent="0.25">
      <c r="B30" s="1321" t="s">
        <v>2023</v>
      </c>
      <c r="C30" s="1327">
        <f t="shared" ref="C30:L30" si="2">+C27/C26</f>
        <v>0.64301692976525648</v>
      </c>
      <c r="D30" s="1327">
        <f t="shared" si="2"/>
        <v>0.23053278393582247</v>
      </c>
      <c r="E30" s="1327">
        <f t="shared" si="2"/>
        <v>1.2522305216304999</v>
      </c>
      <c r="F30" s="1327">
        <f t="shared" si="2"/>
        <v>1.8852132638843999E-2</v>
      </c>
      <c r="G30" s="1327">
        <f t="shared" si="2"/>
        <v>0.27806053789339225</v>
      </c>
      <c r="H30" s="1327">
        <f t="shared" si="2"/>
        <v>0.22197560281842504</v>
      </c>
      <c r="I30" s="1327">
        <f t="shared" si="2"/>
        <v>1.1398789793529567</v>
      </c>
      <c r="J30" s="1327">
        <f t="shared" si="2"/>
        <v>0.59838902349904799</v>
      </c>
      <c r="K30" s="1327">
        <f t="shared" si="2"/>
        <v>0.49391221532452895</v>
      </c>
      <c r="L30" s="1327">
        <f t="shared" si="2"/>
        <v>0</v>
      </c>
    </row>
    <row r="31" spans="2:12" hidden="1" x14ac:dyDescent="0.25">
      <c r="B31" s="1321" t="s">
        <v>2024</v>
      </c>
      <c r="C31" s="1327">
        <v>25.26</v>
      </c>
      <c r="D31" s="1327">
        <v>105.42</v>
      </c>
      <c r="E31" s="1327">
        <v>83.54</v>
      </c>
      <c r="F31" s="1327">
        <v>24.37</v>
      </c>
      <c r="G31" s="1327">
        <v>32.49</v>
      </c>
      <c r="H31" s="1327">
        <v>10.130000000000001</v>
      </c>
      <c r="I31" s="1327">
        <v>14.03</v>
      </c>
      <c r="J31" s="1327">
        <v>140.94999999999999</v>
      </c>
      <c r="K31" s="1327">
        <v>9.94</v>
      </c>
      <c r="L31" s="1327">
        <v>22.73</v>
      </c>
    </row>
    <row r="32" spans="2:12" x14ac:dyDescent="0.25">
      <c r="H32" s="1847"/>
    </row>
    <row r="33" spans="2:12" ht="15.75" x14ac:dyDescent="0.25">
      <c r="B33" s="3855" t="s">
        <v>2479</v>
      </c>
      <c r="C33" s="3855"/>
      <c r="D33" s="3855"/>
      <c r="E33" s="3855"/>
      <c r="F33" s="3855"/>
      <c r="G33" s="3855"/>
      <c r="H33" s="3855"/>
      <c r="I33" s="3855"/>
      <c r="J33" s="3855"/>
      <c r="K33" s="3855"/>
      <c r="L33" s="3855"/>
    </row>
    <row r="34" spans="2:12" x14ac:dyDescent="0.25">
      <c r="B34" s="1320" t="s">
        <v>4</v>
      </c>
      <c r="C34" s="1319" t="s">
        <v>1112</v>
      </c>
      <c r="D34" s="1319" t="s">
        <v>1098</v>
      </c>
      <c r="E34" s="1319" t="s">
        <v>1099</v>
      </c>
      <c r="F34" s="1319" t="s">
        <v>243</v>
      </c>
      <c r="G34" s="1319" t="s">
        <v>244</v>
      </c>
      <c r="H34" s="1319" t="s">
        <v>1197</v>
      </c>
      <c r="I34" s="1319" t="s">
        <v>1101</v>
      </c>
      <c r="J34" s="1319" t="s">
        <v>1100</v>
      </c>
      <c r="K34" s="1319" t="s">
        <v>1115</v>
      </c>
      <c r="L34" s="1319" t="s">
        <v>1105</v>
      </c>
    </row>
    <row r="35" spans="2:12" x14ac:dyDescent="0.25">
      <c r="B35" s="3847" t="s">
        <v>1964</v>
      </c>
      <c r="C35" s="3847"/>
      <c r="D35" s="3847"/>
      <c r="E35" s="3847"/>
      <c r="F35" s="3847"/>
      <c r="G35" s="3847"/>
      <c r="H35" s="3847"/>
      <c r="I35" s="3847"/>
      <c r="J35" s="3847"/>
      <c r="K35" s="3847"/>
      <c r="L35" s="3847"/>
    </row>
    <row r="36" spans="2:12" x14ac:dyDescent="0.25">
      <c r="B36" s="1321" t="s">
        <v>2014</v>
      </c>
      <c r="C36" s="2478">
        <v>874646.49</v>
      </c>
      <c r="D36" s="2478">
        <v>520957.53</v>
      </c>
      <c r="E36" s="2478">
        <v>476411.29</v>
      </c>
      <c r="F36" s="2478">
        <v>132018.60999999999</v>
      </c>
      <c r="G36" s="2478">
        <v>20409.740000000002</v>
      </c>
      <c r="H36" s="2478">
        <v>138328.48000000001</v>
      </c>
      <c r="I36" s="2478">
        <v>105115.37</v>
      </c>
      <c r="J36" s="2478">
        <v>78610.66</v>
      </c>
      <c r="K36" s="2478">
        <v>26390.03</v>
      </c>
      <c r="L36" s="2478">
        <v>546852</v>
      </c>
    </row>
    <row r="37" spans="2:12" x14ac:dyDescent="0.25">
      <c r="B37" s="1321" t="s">
        <v>2015</v>
      </c>
      <c r="C37" s="2478">
        <v>56753.43</v>
      </c>
      <c r="D37" s="2478">
        <v>32738</v>
      </c>
      <c r="E37" s="2478">
        <v>26056.720000000001</v>
      </c>
      <c r="F37" s="2478">
        <v>46944.15</v>
      </c>
      <c r="G37" s="2478">
        <v>6385.94</v>
      </c>
      <c r="H37" s="2478">
        <v>9905.75</v>
      </c>
      <c r="I37" s="2478">
        <v>4928.7700000000004</v>
      </c>
      <c r="J37" s="2478">
        <v>4241.6899999999996</v>
      </c>
      <c r="K37" s="2478">
        <v>4137.93</v>
      </c>
      <c r="L37" s="2479">
        <v>60980</v>
      </c>
    </row>
    <row r="38" spans="2:12" x14ac:dyDescent="0.25">
      <c r="B38" s="1321" t="s">
        <v>2888</v>
      </c>
      <c r="C38" s="2478">
        <v>7969.02</v>
      </c>
      <c r="D38" s="2478">
        <v>1634</v>
      </c>
      <c r="E38" s="2478">
        <v>3149.46</v>
      </c>
      <c r="F38" s="2478">
        <v>4529.26</v>
      </c>
      <c r="G38" s="2478">
        <v>966.08</v>
      </c>
      <c r="H38" s="2478">
        <v>942.08</v>
      </c>
      <c r="I38" s="2478">
        <v>907.23</v>
      </c>
      <c r="J38" s="2478">
        <v>120.07</v>
      </c>
      <c r="K38" s="2478">
        <v>61.32</v>
      </c>
      <c r="L38" s="2478">
        <v>6904</v>
      </c>
    </row>
    <row r="39" spans="2:12" x14ac:dyDescent="0.25">
      <c r="B39" s="1321" t="s">
        <v>2017</v>
      </c>
      <c r="C39" s="2478">
        <v>11981.99</v>
      </c>
      <c r="D39" s="2478">
        <v>7800.78</v>
      </c>
      <c r="E39" s="2478">
        <v>5732.03</v>
      </c>
      <c r="F39" s="2478">
        <v>9520.8700000000008</v>
      </c>
      <c r="G39" s="2478">
        <v>964.52</v>
      </c>
      <c r="H39" s="2478">
        <v>1995.37</v>
      </c>
      <c r="I39" s="2478">
        <v>2090.3200000000002</v>
      </c>
      <c r="J39" s="2478">
        <v>1059.77</v>
      </c>
      <c r="K39" s="2478">
        <v>999.37</v>
      </c>
      <c r="L39" s="2479">
        <v>10225</v>
      </c>
    </row>
    <row r="40" spans="2:12" x14ac:dyDescent="0.25">
      <c r="B40" s="1321" t="s">
        <v>2018</v>
      </c>
      <c r="C40" s="2478">
        <v>36802.42</v>
      </c>
      <c r="D40" s="2478">
        <v>23303.22</v>
      </c>
      <c r="E40" s="2478">
        <v>17175.23</v>
      </c>
      <c r="F40" s="2478">
        <v>32894.019999999997</v>
      </c>
      <c r="G40" s="2478">
        <v>4455.34</v>
      </c>
      <c r="H40" s="2478">
        <v>6968.3</v>
      </c>
      <c r="I40" s="2478">
        <v>1931.22</v>
      </c>
      <c r="J40" s="2478">
        <v>3061.85</v>
      </c>
      <c r="K40" s="2478">
        <v>3077.24</v>
      </c>
      <c r="L40" s="2480">
        <v>43851</v>
      </c>
    </row>
    <row r="41" spans="2:12" x14ac:dyDescent="0.25">
      <c r="B41" s="1321" t="s">
        <v>2019</v>
      </c>
      <c r="C41" s="2478">
        <v>204544.34</v>
      </c>
      <c r="D41" s="2478">
        <v>95232.74</v>
      </c>
      <c r="E41" s="2478">
        <v>59847.09</v>
      </c>
      <c r="F41" s="2478">
        <v>331770.44</v>
      </c>
      <c r="G41" s="2478">
        <v>48526.07</v>
      </c>
      <c r="H41" s="2478">
        <v>74074.27</v>
      </c>
      <c r="I41" s="2478">
        <v>14167.15</v>
      </c>
      <c r="J41" s="2478">
        <v>10800.02</v>
      </c>
      <c r="K41" s="2478">
        <v>18912.34</v>
      </c>
      <c r="L41" s="2478">
        <v>566235</v>
      </c>
    </row>
    <row r="42" spans="2:12" x14ac:dyDescent="0.25">
      <c r="B42" s="1321" t="s">
        <v>2020</v>
      </c>
      <c r="C42" s="2478">
        <v>110668.22</v>
      </c>
      <c r="D42" s="2478">
        <v>10480.09</v>
      </c>
      <c r="E42" s="2478">
        <v>47598.66</v>
      </c>
      <c r="F42" s="2478">
        <v>7823.4</v>
      </c>
      <c r="G42" s="2478">
        <v>13277.93</v>
      </c>
      <c r="H42" s="2478">
        <v>16259.29</v>
      </c>
      <c r="I42" s="2478">
        <v>14333.7</v>
      </c>
      <c r="J42" s="2478">
        <v>1951.18</v>
      </c>
      <c r="K42" s="2478">
        <v>18361.669999999998</v>
      </c>
      <c r="L42" s="2478">
        <v>231381</v>
      </c>
    </row>
    <row r="43" spans="2:12" x14ac:dyDescent="0.25">
      <c r="B43" s="1322" t="s">
        <v>2021</v>
      </c>
      <c r="C43" s="2481"/>
      <c r="D43" s="2481"/>
      <c r="E43" s="2481"/>
      <c r="F43" s="2481"/>
      <c r="G43" s="2481"/>
      <c r="H43" s="2481"/>
      <c r="I43" s="2481"/>
      <c r="J43" s="2481"/>
      <c r="K43" s="2481"/>
      <c r="L43" s="2481"/>
    </row>
    <row r="44" spans="2:12" x14ac:dyDescent="0.25">
      <c r="B44" s="1321" t="s">
        <v>2022</v>
      </c>
      <c r="C44" s="2482">
        <f>+C40/C36</f>
        <v>4.2076908123189288E-2</v>
      </c>
      <c r="D44" s="2482">
        <f t="shared" ref="D44:L44" si="3">+D40/D36</f>
        <v>4.4731515830090794E-2</v>
      </c>
      <c r="E44" s="2482">
        <f t="shared" si="3"/>
        <v>3.6051265703631832E-2</v>
      </c>
      <c r="F44" s="2482">
        <f t="shared" si="3"/>
        <v>0.2491619931462693</v>
      </c>
      <c r="G44" s="2482">
        <f t="shared" si="3"/>
        <v>0.2182947945441735</v>
      </c>
      <c r="H44" s="2482">
        <f t="shared" si="3"/>
        <v>5.0375020386257408E-2</v>
      </c>
      <c r="I44" s="2482">
        <f t="shared" si="3"/>
        <v>1.8372384552325698E-2</v>
      </c>
      <c r="J44" s="2482">
        <f t="shared" si="3"/>
        <v>3.8949552134532391E-2</v>
      </c>
      <c r="K44" s="2482">
        <f t="shared" si="3"/>
        <v>0.11660615770425421</v>
      </c>
      <c r="L44" s="2482">
        <f t="shared" si="3"/>
        <v>8.0188058194904654E-2</v>
      </c>
    </row>
    <row r="45" spans="2:12" x14ac:dyDescent="0.25">
      <c r="B45" s="1321" t="s">
        <v>2023</v>
      </c>
      <c r="C45" s="2483">
        <v>0.54104757921925395</v>
      </c>
      <c r="D45" s="2483">
        <v>0.11004713295028579</v>
      </c>
      <c r="E45" s="2483">
        <v>0.79533791868577075</v>
      </c>
      <c r="F45" s="2483">
        <v>2.3580762650222846E-2</v>
      </c>
      <c r="G45" s="2483">
        <v>0.27362467226379555</v>
      </c>
      <c r="H45" s="2483">
        <v>0.21949983442293794</v>
      </c>
      <c r="I45" s="2483">
        <v>1.0117560694988055</v>
      </c>
      <c r="J45" s="2483">
        <v>0.18066448025096249</v>
      </c>
      <c r="K45" s="2484">
        <v>0.97088303192518732</v>
      </c>
      <c r="L45" s="2483">
        <v>0.41</v>
      </c>
    </row>
    <row r="46" spans="2:12" x14ac:dyDescent="0.25">
      <c r="B46" s="1321" t="s">
        <v>2024</v>
      </c>
      <c r="C46" s="2483">
        <v>26.72</v>
      </c>
      <c r="D46" s="2483">
        <v>54.54</v>
      </c>
      <c r="E46" s="2483">
        <v>80.72</v>
      </c>
      <c r="F46" s="2483">
        <v>26.15</v>
      </c>
      <c r="G46" s="2483">
        <v>27.39</v>
      </c>
      <c r="H46" s="2483">
        <v>10.62</v>
      </c>
      <c r="I46" s="2483">
        <v>11.02</v>
      </c>
      <c r="J46" s="2483">
        <v>205.62</v>
      </c>
      <c r="K46" s="2483">
        <v>17.52</v>
      </c>
      <c r="L46" s="2483">
        <v>32.4</v>
      </c>
    </row>
    <row r="47" spans="2:12" x14ac:dyDescent="0.25">
      <c r="B47" s="1328" t="s">
        <v>2278</v>
      </c>
      <c r="C47" s="1329"/>
      <c r="D47" s="1329"/>
      <c r="E47" s="1329"/>
      <c r="F47" s="1329"/>
      <c r="G47" s="1329"/>
      <c r="H47" s="1329"/>
      <c r="I47" s="1329"/>
      <c r="J47" s="1329"/>
      <c r="K47" s="1329"/>
      <c r="L47" s="1329"/>
    </row>
    <row r="48" spans="2:12" x14ac:dyDescent="0.25">
      <c r="B48" s="128" t="s">
        <v>2496</v>
      </c>
      <c r="C48" s="128"/>
      <c r="D48" s="128"/>
      <c r="E48" s="128"/>
      <c r="F48" s="128"/>
      <c r="H48" s="128"/>
      <c r="I48" s="128"/>
      <c r="J48" s="128"/>
      <c r="K48" s="128"/>
      <c r="L48" s="128"/>
    </row>
  </sheetData>
  <mergeCells count="9">
    <mergeCell ref="B35:L35"/>
    <mergeCell ref="B1:L1"/>
    <mergeCell ref="B2:L2"/>
    <mergeCell ref="B3:L3"/>
    <mergeCell ref="B5:L5"/>
    <mergeCell ref="B17:L17"/>
    <mergeCell ref="B18:L18"/>
    <mergeCell ref="B20:L20"/>
    <mergeCell ref="B33:L33"/>
  </mergeCells>
  <pageMargins left="0.7" right="0.7" top="0.75" bottom="0.75" header="0.3" footer="0.3"/>
  <pageSetup paperSize="9" scale="81" orientation="landscape" r:id="rId1"/>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E5C0CB-A264-42E9-B3D8-E1A58E0FD5D5}">
  <sheetPr codeName="Sheet102">
    <tabColor theme="0"/>
    <pageSetUpPr fitToPage="1"/>
  </sheetPr>
  <dimension ref="A1:L59"/>
  <sheetViews>
    <sheetView showGridLines="0" showWhiteSpace="0" view="pageLayout" topLeftCell="B17" zoomScale="60" zoomScaleNormal="100" zoomScalePageLayoutView="60" workbookViewId="0">
      <selection activeCell="B81" sqref="B81"/>
    </sheetView>
  </sheetViews>
  <sheetFormatPr defaultColWidth="9.140625" defaultRowHeight="16.5" x14ac:dyDescent="0.3"/>
  <cols>
    <col min="1" max="1" width="2.5703125" style="288" hidden="1" customWidth="1"/>
    <col min="2" max="2" width="43.7109375" style="372" customWidth="1"/>
    <col min="3" max="3" width="13.140625" style="484" hidden="1" customWidth="1"/>
    <col min="4" max="5" width="14.28515625" style="484" customWidth="1"/>
    <col min="6" max="6" width="14.140625" style="484" customWidth="1"/>
    <col min="7" max="8" width="13.85546875" style="484" customWidth="1"/>
    <col min="9" max="9" width="15.5703125" style="484" customWidth="1"/>
    <col min="10" max="10" width="17.42578125" style="484" customWidth="1"/>
    <col min="11" max="16384" width="9.140625" style="372"/>
  </cols>
  <sheetData>
    <row r="1" spans="2:10" s="372" customFormat="1" ht="35.25" customHeight="1" x14ac:dyDescent="0.25">
      <c r="B1" s="3683" t="s">
        <v>2025</v>
      </c>
      <c r="C1" s="3683"/>
      <c r="D1" s="3683"/>
      <c r="E1" s="3683"/>
      <c r="F1" s="3683"/>
      <c r="G1" s="3683"/>
      <c r="H1" s="3683"/>
      <c r="I1" s="3683"/>
      <c r="J1" s="2190"/>
    </row>
    <row r="2" spans="2:10" s="372" customFormat="1" x14ac:dyDescent="0.25">
      <c r="B2" s="3866" t="s">
        <v>1964</v>
      </c>
      <c r="C2" s="3866"/>
      <c r="D2" s="3866"/>
      <c r="E2" s="3866"/>
      <c r="F2" s="3866"/>
      <c r="G2" s="3866"/>
      <c r="H2" s="3866"/>
      <c r="I2" s="3866"/>
      <c r="J2" s="242"/>
    </row>
    <row r="3" spans="2:10" s="372" customFormat="1" ht="54" customHeight="1" x14ac:dyDescent="0.25">
      <c r="B3" s="498" t="s">
        <v>4</v>
      </c>
      <c r="C3" s="485" t="s">
        <v>8</v>
      </c>
      <c r="D3" s="485" t="s">
        <v>9</v>
      </c>
      <c r="E3" s="485" t="s">
        <v>77</v>
      </c>
      <c r="F3" s="485" t="s">
        <v>11</v>
      </c>
      <c r="G3" s="845" t="s">
        <v>382</v>
      </c>
      <c r="H3" s="499" t="s">
        <v>2498</v>
      </c>
      <c r="I3" s="1333" t="s">
        <v>2663</v>
      </c>
    </row>
    <row r="4" spans="2:10" s="372" customFormat="1" ht="21" x14ac:dyDescent="0.25">
      <c r="B4" s="2020" t="s">
        <v>2026</v>
      </c>
      <c r="C4" s="486">
        <v>1833</v>
      </c>
      <c r="D4" s="486">
        <v>0</v>
      </c>
      <c r="E4" s="486">
        <v>0</v>
      </c>
      <c r="F4" s="2485">
        <v>0</v>
      </c>
      <c r="G4" s="2485">
        <v>0</v>
      </c>
      <c r="H4" s="2485">
        <v>0</v>
      </c>
      <c r="I4" s="2485"/>
    </row>
    <row r="5" spans="2:10" s="372" customFormat="1" ht="21.75" customHeight="1" x14ac:dyDescent="0.25">
      <c r="B5" s="2020" t="s">
        <v>2027</v>
      </c>
      <c r="C5" s="486">
        <v>0</v>
      </c>
      <c r="D5" s="486">
        <v>0</v>
      </c>
      <c r="E5" s="486">
        <v>0</v>
      </c>
      <c r="F5" s="2485">
        <v>22000</v>
      </c>
      <c r="G5" s="2485">
        <v>0</v>
      </c>
      <c r="H5" s="2485">
        <v>0</v>
      </c>
      <c r="I5" s="2485">
        <v>12500</v>
      </c>
    </row>
    <row r="6" spans="2:10" s="372" customFormat="1" ht="21" x14ac:dyDescent="0.25">
      <c r="B6" s="2021" t="s">
        <v>2028</v>
      </c>
      <c r="C6" s="487">
        <v>1833</v>
      </c>
      <c r="D6" s="487">
        <v>0</v>
      </c>
      <c r="E6" s="487">
        <v>0</v>
      </c>
      <c r="F6" s="2486">
        <f>SUM(F4:F5)</f>
        <v>22000</v>
      </c>
      <c r="G6" s="2486">
        <f>SUM(G4:G5)</f>
        <v>0</v>
      </c>
      <c r="H6" s="2486">
        <f>SUM(H4:H5)</f>
        <v>0</v>
      </c>
      <c r="I6" s="2486">
        <v>12500</v>
      </c>
    </row>
    <row r="7" spans="2:10" s="372" customFormat="1" ht="42" x14ac:dyDescent="0.25">
      <c r="B7" s="2020" t="s">
        <v>2029</v>
      </c>
      <c r="C7" s="486">
        <v>22635</v>
      </c>
      <c r="D7" s="486">
        <v>3559</v>
      </c>
      <c r="E7" s="486">
        <v>0</v>
      </c>
      <c r="F7" s="2485">
        <v>822.94</v>
      </c>
      <c r="G7" s="2485">
        <v>1142.5999999999999</v>
      </c>
      <c r="H7" s="2485">
        <v>365.8851325465132</v>
      </c>
      <c r="I7" s="2485">
        <v>1646.4348624231689</v>
      </c>
    </row>
    <row r="8" spans="2:10" s="372" customFormat="1" ht="42" x14ac:dyDescent="0.25">
      <c r="B8" s="2020" t="s">
        <v>2030</v>
      </c>
      <c r="C8" s="486">
        <v>91</v>
      </c>
      <c r="D8" s="486">
        <v>98.64</v>
      </c>
      <c r="E8" s="486">
        <v>241.65</v>
      </c>
      <c r="F8" s="2485">
        <v>32</v>
      </c>
      <c r="G8" s="2485">
        <v>84</v>
      </c>
      <c r="H8" s="2485">
        <v>0</v>
      </c>
      <c r="I8" s="2485">
        <v>0</v>
      </c>
    </row>
    <row r="9" spans="2:10" s="372" customFormat="1" ht="42" x14ac:dyDescent="0.25">
      <c r="B9" s="2021" t="s">
        <v>2031</v>
      </c>
      <c r="C9" s="487">
        <v>22726</v>
      </c>
      <c r="D9" s="487">
        <v>3657.64</v>
      </c>
      <c r="E9" s="487">
        <v>241.65</v>
      </c>
      <c r="F9" s="2486">
        <f>+SUM(F7:F8)</f>
        <v>854.94</v>
      </c>
      <c r="G9" s="2486">
        <f>+SUM(G7:G8)</f>
        <v>1226.5999999999999</v>
      </c>
      <c r="H9" s="2486">
        <f>+SUM(H7:H8)</f>
        <v>365.8851325465132</v>
      </c>
      <c r="I9" s="2486">
        <v>1646.4348624231689</v>
      </c>
    </row>
    <row r="10" spans="2:10" s="372" customFormat="1" ht="42" x14ac:dyDescent="0.25">
      <c r="B10" s="2020" t="s">
        <v>2032</v>
      </c>
      <c r="C10" s="486">
        <v>1403</v>
      </c>
      <c r="D10" s="486">
        <v>-34</v>
      </c>
      <c r="E10" s="486">
        <v>1568.73</v>
      </c>
      <c r="F10" s="2485">
        <v>6110.4146000000001</v>
      </c>
      <c r="G10" s="2485">
        <v>10216.549999999999</v>
      </c>
      <c r="H10" s="2485">
        <v>13273.606601167099</v>
      </c>
      <c r="I10" s="2485">
        <v>12212.091181084299</v>
      </c>
    </row>
    <row r="11" spans="2:10" s="372" customFormat="1" ht="84" x14ac:dyDescent="0.25">
      <c r="B11" s="2020" t="s">
        <v>2033</v>
      </c>
      <c r="C11" s="486">
        <v>42.94</v>
      </c>
      <c r="D11" s="486">
        <v>110</v>
      </c>
      <c r="E11" s="486">
        <v>0</v>
      </c>
      <c r="F11" s="2485">
        <v>0</v>
      </c>
      <c r="G11" s="2485">
        <v>0</v>
      </c>
      <c r="H11" s="2485">
        <v>0</v>
      </c>
      <c r="I11" s="2485">
        <v>0</v>
      </c>
    </row>
    <row r="12" spans="2:10" s="372" customFormat="1" ht="42" x14ac:dyDescent="0.25">
      <c r="B12" s="2021" t="s">
        <v>2034</v>
      </c>
      <c r="C12" s="487">
        <v>1445.94</v>
      </c>
      <c r="D12" s="487">
        <v>76</v>
      </c>
      <c r="E12" s="487">
        <v>1568.73</v>
      </c>
      <c r="F12" s="2486">
        <f>+SUM(F10:F11)</f>
        <v>6110.4146000000001</v>
      </c>
      <c r="G12" s="2486">
        <f>+SUM(G10:G11)</f>
        <v>10216.549999999999</v>
      </c>
      <c r="H12" s="2486">
        <f>+SUM(H10:H11)</f>
        <v>13273.606601167099</v>
      </c>
      <c r="I12" s="2486">
        <v>12212.091181084299</v>
      </c>
    </row>
    <row r="13" spans="2:10" s="372" customFormat="1" ht="42" x14ac:dyDescent="0.25">
      <c r="B13" s="2021" t="s">
        <v>2035</v>
      </c>
      <c r="C13" s="487">
        <v>42</v>
      </c>
      <c r="D13" s="487">
        <v>0</v>
      </c>
      <c r="E13" s="487">
        <v>0</v>
      </c>
      <c r="F13" s="2486">
        <v>0</v>
      </c>
      <c r="G13" s="2486">
        <v>0</v>
      </c>
      <c r="H13" s="2486">
        <v>0</v>
      </c>
      <c r="I13" s="2486">
        <v>0</v>
      </c>
    </row>
    <row r="14" spans="2:10" s="372" customFormat="1" ht="21" x14ac:dyDescent="0.25">
      <c r="B14" s="2021" t="s">
        <v>2036</v>
      </c>
      <c r="C14" s="487">
        <v>0</v>
      </c>
      <c r="D14" s="487">
        <v>8162</v>
      </c>
      <c r="E14" s="487">
        <v>0</v>
      </c>
      <c r="F14" s="2486">
        <v>0</v>
      </c>
      <c r="G14" s="2486">
        <v>0</v>
      </c>
      <c r="H14" s="2486">
        <v>0</v>
      </c>
      <c r="I14" s="2486">
        <v>0</v>
      </c>
    </row>
    <row r="15" spans="2:10" s="372" customFormat="1" ht="21" customHeight="1" x14ac:dyDescent="0.25">
      <c r="B15" s="2020" t="s">
        <v>2037</v>
      </c>
      <c r="C15" s="488">
        <v>573.79999999999995</v>
      </c>
      <c r="D15" s="488">
        <v>335.76769999999999</v>
      </c>
      <c r="E15" s="488">
        <v>404.91</v>
      </c>
      <c r="F15" s="2485">
        <v>1354.31</v>
      </c>
      <c r="G15" s="2485">
        <v>1174.1500000000001</v>
      </c>
      <c r="H15" s="2485">
        <v>1071.99</v>
      </c>
      <c r="I15" s="2485">
        <v>1118.8889439</v>
      </c>
    </row>
    <row r="16" spans="2:10" s="372" customFormat="1" ht="57" customHeight="1" x14ac:dyDescent="0.25">
      <c r="B16" s="2020" t="s">
        <v>2038</v>
      </c>
      <c r="C16" s="488">
        <v>0</v>
      </c>
      <c r="D16" s="488">
        <v>0</v>
      </c>
      <c r="E16" s="488">
        <v>22</v>
      </c>
      <c r="F16" s="2485">
        <v>76.34</v>
      </c>
      <c r="G16" s="2485">
        <v>78.42</v>
      </c>
      <c r="H16" s="2485">
        <v>98.93</v>
      </c>
      <c r="I16" s="2485">
        <v>106.694851994724</v>
      </c>
    </row>
    <row r="17" spans="1:12" ht="21" x14ac:dyDescent="0.25">
      <c r="A17" s="372"/>
      <c r="B17" s="2021" t="s">
        <v>2039</v>
      </c>
      <c r="C17" s="487">
        <v>573.79999999999995</v>
      </c>
      <c r="D17" s="2487">
        <v>335.76769999999999</v>
      </c>
      <c r="E17" s="2487">
        <v>426.91</v>
      </c>
      <c r="F17" s="2486">
        <v>1430.6499999999999</v>
      </c>
      <c r="G17" s="2486">
        <v>1252.5700000000002</v>
      </c>
      <c r="H17" s="2486">
        <v>1170.92</v>
      </c>
      <c r="I17" s="2486">
        <v>1225.5837958947241</v>
      </c>
    </row>
    <row r="18" spans="1:12" ht="63" x14ac:dyDescent="0.25">
      <c r="A18" s="372"/>
      <c r="B18" s="2021" t="s">
        <v>2040</v>
      </c>
      <c r="C18" s="487">
        <v>26620.739999999998</v>
      </c>
      <c r="D18" s="2487">
        <v>12231.4077</v>
      </c>
      <c r="E18" s="2487">
        <v>2237.29</v>
      </c>
      <c r="F18" s="2486">
        <v>30396.0046</v>
      </c>
      <c r="G18" s="2486">
        <v>12695.72</v>
      </c>
      <c r="H18" s="2486">
        <v>14810.411733713612</v>
      </c>
      <c r="I18" s="2486">
        <v>27584.10983940219</v>
      </c>
    </row>
    <row r="19" spans="1:12" ht="15.75" customHeight="1" x14ac:dyDescent="0.25">
      <c r="A19" s="372"/>
      <c r="B19" s="503" t="s">
        <v>2001</v>
      </c>
      <c r="C19" s="489"/>
      <c r="D19" s="489"/>
      <c r="E19" s="489"/>
      <c r="F19" s="489"/>
      <c r="G19" s="489"/>
      <c r="H19" s="489"/>
      <c r="I19" s="3859"/>
      <c r="J19" s="3860"/>
    </row>
    <row r="20" spans="1:12" ht="15.75" x14ac:dyDescent="0.25">
      <c r="A20" s="372"/>
      <c r="B20" s="505" t="s">
        <v>2041</v>
      </c>
      <c r="I20" s="3861"/>
      <c r="J20" s="3862"/>
    </row>
    <row r="21" spans="1:12" ht="21.75" customHeight="1" x14ac:dyDescent="0.25">
      <c r="A21" s="372"/>
      <c r="B21" s="3863"/>
      <c r="C21" s="3864"/>
      <c r="D21" s="3864"/>
      <c r="E21" s="3864"/>
      <c r="F21" s="3864"/>
      <c r="G21" s="3864"/>
      <c r="H21" s="3864"/>
      <c r="I21" s="3864"/>
      <c r="J21" s="3865"/>
    </row>
    <row r="22" spans="1:12" ht="36.75" customHeight="1" x14ac:dyDescent="0.25">
      <c r="A22" s="372"/>
      <c r="B22" s="3867" t="s">
        <v>2042</v>
      </c>
      <c r="C22" s="3868"/>
      <c r="D22" s="3868"/>
      <c r="E22" s="3868"/>
      <c r="F22" s="3868"/>
      <c r="G22" s="3868"/>
      <c r="H22" s="3868"/>
      <c r="I22" s="3868"/>
      <c r="J22" s="2189"/>
    </row>
    <row r="23" spans="1:12" ht="49.5" x14ac:dyDescent="0.25">
      <c r="A23" s="372"/>
      <c r="B23" s="2187" t="s">
        <v>2432</v>
      </c>
      <c r="C23" s="2188"/>
      <c r="D23" s="2188"/>
      <c r="E23" s="1115" t="s">
        <v>2287</v>
      </c>
      <c r="F23" s="1115" t="s">
        <v>2043</v>
      </c>
      <c r="G23" s="1116" t="s">
        <v>2044</v>
      </c>
      <c r="H23" s="1116" t="s">
        <v>2045</v>
      </c>
      <c r="I23" s="2022" t="s">
        <v>2046</v>
      </c>
      <c r="L23" s="390"/>
    </row>
    <row r="24" spans="1:12" ht="15.75" x14ac:dyDescent="0.25">
      <c r="A24" s="372"/>
      <c r="B24" s="1118" t="s">
        <v>1096</v>
      </c>
      <c r="C24" s="1119"/>
      <c r="D24" s="1119"/>
      <c r="E24" s="216">
        <v>226.49761635146419</v>
      </c>
      <c r="F24" s="1110">
        <v>1660.2275278562324</v>
      </c>
      <c r="G24" s="1111">
        <v>111914.67188589771</v>
      </c>
      <c r="H24" s="1112">
        <v>783182.85010636866</v>
      </c>
      <c r="I24" s="1113">
        <v>67.409237594323855</v>
      </c>
      <c r="L24" s="390"/>
    </row>
    <row r="25" spans="1:12" ht="15.75" x14ac:dyDescent="0.25">
      <c r="A25" s="372"/>
      <c r="B25" s="1118" t="s">
        <v>2047</v>
      </c>
      <c r="C25" s="1119"/>
      <c r="D25" s="1119"/>
      <c r="E25" s="216">
        <v>226.95466551568416</v>
      </c>
      <c r="F25" s="1110">
        <v>1663.5776982299649</v>
      </c>
      <c r="G25" s="1111">
        <v>101376.19315806718</v>
      </c>
      <c r="H25" s="1112">
        <v>717000.97515933076</v>
      </c>
      <c r="I25" s="1113">
        <v>60.938658450357167</v>
      </c>
      <c r="L25" s="390"/>
    </row>
    <row r="26" spans="1:12" ht="15.75" x14ac:dyDescent="0.25">
      <c r="A26" s="372"/>
      <c r="B26" s="1118" t="s">
        <v>9</v>
      </c>
      <c r="C26" s="1119"/>
      <c r="D26" s="1119"/>
      <c r="E26" s="216">
        <v>196.46086094549045</v>
      </c>
      <c r="F26" s="1110">
        <v>1440.0581107304449</v>
      </c>
      <c r="G26" s="1111">
        <v>62248.046946401744</v>
      </c>
      <c r="H26" s="1112">
        <v>459778.56921302341</v>
      </c>
      <c r="I26" s="1113">
        <v>43.226066005647148</v>
      </c>
      <c r="L26" s="390"/>
    </row>
    <row r="27" spans="1:12" ht="15.75" x14ac:dyDescent="0.25">
      <c r="A27" s="372"/>
      <c r="B27" s="1118" t="s">
        <v>77</v>
      </c>
      <c r="C27" s="1119"/>
      <c r="D27" s="1119"/>
      <c r="E27" s="216">
        <v>212.38162243623961</v>
      </c>
      <c r="F27" s="1110">
        <v>1556.7572924576364</v>
      </c>
      <c r="G27" s="1111">
        <v>120675.15291795257</v>
      </c>
      <c r="H27" s="1112">
        <v>901262.1919712883</v>
      </c>
      <c r="I27" s="1113">
        <v>77.516998637240334</v>
      </c>
      <c r="L27" s="390"/>
    </row>
    <row r="28" spans="1:12" ht="15.75" x14ac:dyDescent="0.25">
      <c r="A28" s="372"/>
      <c r="B28" s="1118" t="s">
        <v>11</v>
      </c>
      <c r="C28" s="1119"/>
      <c r="D28" s="1119"/>
      <c r="E28" s="216">
        <v>232.70041197882605</v>
      </c>
      <c r="F28" s="1110">
        <v>1705.6940198047948</v>
      </c>
      <c r="G28" s="1111">
        <v>157531.02411079602</v>
      </c>
      <c r="H28" s="1112">
        <v>1260371.8243467691</v>
      </c>
      <c r="I28" s="1113">
        <v>92.355969055237921</v>
      </c>
      <c r="L28" s="390"/>
    </row>
    <row r="29" spans="1:12" ht="15.75" x14ac:dyDescent="0.25">
      <c r="A29" s="372"/>
      <c r="B29" s="1118" t="s">
        <v>382</v>
      </c>
      <c r="C29" s="1119"/>
      <c r="D29" s="1119"/>
      <c r="E29" s="216">
        <v>234.26157957307791</v>
      </c>
      <c r="F29" s="1110">
        <v>1717.137378270661</v>
      </c>
      <c r="G29" s="1111">
        <v>133366.42965364741</v>
      </c>
      <c r="H29" s="1112">
        <v>1105175.8560986861</v>
      </c>
      <c r="I29" s="1113">
        <v>77.667885715679603</v>
      </c>
      <c r="K29" s="484"/>
      <c r="L29" s="484"/>
    </row>
    <row r="30" spans="1:12" ht="15.75" x14ac:dyDescent="0.25">
      <c r="A30" s="372"/>
      <c r="B30" s="1118" t="s">
        <v>2309</v>
      </c>
      <c r="C30" s="1119"/>
      <c r="D30" s="1119"/>
      <c r="E30" s="216">
        <v>243.2249713620491</v>
      </c>
      <c r="F30" s="1110">
        <v>1782.83904008382</v>
      </c>
      <c r="G30" s="1111">
        <v>137173.9694421186</v>
      </c>
      <c r="H30" s="1112">
        <v>1160617.8764659723</v>
      </c>
      <c r="I30" s="1113">
        <v>76.941308978554446</v>
      </c>
      <c r="K30" s="484"/>
      <c r="L30" s="484"/>
    </row>
    <row r="31" spans="1:12" ht="15.75" x14ac:dyDescent="0.25">
      <c r="A31" s="372"/>
      <c r="B31" s="1758" t="s">
        <v>2536</v>
      </c>
      <c r="C31" s="1759"/>
      <c r="D31" s="1759"/>
      <c r="E31" s="2382">
        <v>245.76867364293193</v>
      </c>
      <c r="F31" s="2488">
        <v>1801.4843778026911</v>
      </c>
      <c r="G31" s="2489">
        <v>123379.25672100733</v>
      </c>
      <c r="H31" s="2490">
        <v>1092247.8563303619</v>
      </c>
      <c r="I31" s="2491">
        <v>68.487552954245231</v>
      </c>
      <c r="K31" s="484"/>
      <c r="L31" s="484"/>
    </row>
    <row r="32" spans="1:12" thickBot="1" x14ac:dyDescent="0.3">
      <c r="A32" s="372"/>
      <c r="B32" s="3856" t="s">
        <v>2383</v>
      </c>
      <c r="C32" s="3857"/>
      <c r="D32" s="3857"/>
      <c r="E32" s="3857"/>
      <c r="F32" s="3857"/>
      <c r="G32" s="3857"/>
      <c r="H32" s="3857"/>
      <c r="I32" s="3857"/>
      <c r="J32" s="3858"/>
    </row>
    <row r="59" ht="1.5" customHeight="1" x14ac:dyDescent="0.3"/>
  </sheetData>
  <mergeCells count="6">
    <mergeCell ref="B1:I1"/>
    <mergeCell ref="B32:J32"/>
    <mergeCell ref="I19:J20"/>
    <mergeCell ref="B21:J21"/>
    <mergeCell ref="B2:I2"/>
    <mergeCell ref="B22:I22"/>
  </mergeCells>
  <pageMargins left="0.70866141732283472" right="0.70866141732283472" top="0.74803149606299213" bottom="0.74803149606299213" header="0.31496062992125984" footer="0.31496062992125984"/>
  <pageSetup paperSize="9" scale="59" orientation="portrait" r:id="rId1"/>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B59505-664A-48CE-9B8E-954FC35F19AC}">
  <sheetPr>
    <tabColor rgb="FFFFC000"/>
    <pageSetUpPr fitToPage="1"/>
  </sheetPr>
  <dimension ref="A1:L35"/>
  <sheetViews>
    <sheetView showGridLines="0" showWhiteSpace="0" view="pageLayout" topLeftCell="B1" zoomScale="85" zoomScaleNormal="100" zoomScalePageLayoutView="85" workbookViewId="0">
      <selection activeCell="S18" sqref="S18"/>
    </sheetView>
  </sheetViews>
  <sheetFormatPr defaultColWidth="9.140625" defaultRowHeight="16.5" x14ac:dyDescent="0.3"/>
  <cols>
    <col min="1" max="1" width="2.5703125" style="288" hidden="1" customWidth="1"/>
    <col min="2" max="2" width="41.28515625" style="372" customWidth="1"/>
    <col min="3" max="3" width="13.140625" style="484" hidden="1" customWidth="1"/>
    <col min="4" max="5" width="14.28515625" style="484" customWidth="1"/>
    <col min="6" max="6" width="11.42578125" style="484" customWidth="1"/>
    <col min="7" max="9" width="13.85546875" style="484" customWidth="1"/>
    <col min="10" max="10" width="17.42578125" style="484" customWidth="1"/>
    <col min="11" max="16384" width="9.140625" style="372"/>
  </cols>
  <sheetData>
    <row r="1" spans="2:10" s="372" customFormat="1" x14ac:dyDescent="0.25">
      <c r="B1" s="3872" t="s">
        <v>2025</v>
      </c>
      <c r="C1" s="3873"/>
      <c r="D1" s="3873"/>
      <c r="E1" s="3873"/>
      <c r="F1" s="3873"/>
      <c r="G1" s="3873"/>
      <c r="H1" s="3873"/>
      <c r="I1" s="3873"/>
      <c r="J1" s="3874"/>
    </row>
    <row r="2" spans="2:10" s="372" customFormat="1" x14ac:dyDescent="0.25">
      <c r="B2" s="3163" t="s">
        <v>1964</v>
      </c>
      <c r="C2" s="3164"/>
      <c r="D2" s="3164"/>
      <c r="E2" s="3164"/>
      <c r="F2" s="3164"/>
      <c r="G2" s="3164"/>
      <c r="H2" s="3164"/>
      <c r="I2" s="3164"/>
      <c r="J2" s="3875"/>
    </row>
    <row r="3" spans="2:10" s="372" customFormat="1" ht="25.5" customHeight="1" x14ac:dyDescent="0.25">
      <c r="B3" s="3876" t="s">
        <v>4</v>
      </c>
      <c r="C3" s="3877"/>
      <c r="D3" s="3877"/>
      <c r="E3" s="3878"/>
      <c r="F3" s="485" t="s">
        <v>9</v>
      </c>
      <c r="G3" s="485" t="s">
        <v>77</v>
      </c>
      <c r="H3" s="485" t="s">
        <v>11</v>
      </c>
      <c r="I3" s="845" t="s">
        <v>382</v>
      </c>
      <c r="J3" s="499" t="s">
        <v>2308</v>
      </c>
    </row>
    <row r="4" spans="2:10" s="372" customFormat="1" x14ac:dyDescent="0.25">
      <c r="B4" s="3869" t="s">
        <v>2026</v>
      </c>
      <c r="C4" s="3870">
        <v>1833</v>
      </c>
      <c r="D4" s="3870"/>
      <c r="E4" s="3871"/>
      <c r="F4" s="486">
        <v>0</v>
      </c>
      <c r="G4" s="486">
        <v>0</v>
      </c>
      <c r="H4" s="486">
        <v>0</v>
      </c>
      <c r="I4" s="846">
        <v>0</v>
      </c>
      <c r="J4" s="500">
        <v>0</v>
      </c>
    </row>
    <row r="5" spans="2:10" s="372" customFormat="1" x14ac:dyDescent="0.25">
      <c r="B5" s="3869" t="s">
        <v>2027</v>
      </c>
      <c r="C5" s="3870">
        <v>0</v>
      </c>
      <c r="D5" s="3870"/>
      <c r="E5" s="3871"/>
      <c r="F5" s="486">
        <v>0</v>
      </c>
      <c r="G5" s="486">
        <v>0</v>
      </c>
      <c r="H5" s="486">
        <v>22000</v>
      </c>
      <c r="I5" s="846">
        <v>0</v>
      </c>
      <c r="J5" s="500">
        <v>0</v>
      </c>
    </row>
    <row r="6" spans="2:10" s="372" customFormat="1" x14ac:dyDescent="0.25">
      <c r="B6" s="3869" t="s">
        <v>2028</v>
      </c>
      <c r="C6" s="3870">
        <v>1833</v>
      </c>
      <c r="D6" s="3870"/>
      <c r="E6" s="3871"/>
      <c r="F6" s="487">
        <v>0</v>
      </c>
      <c r="G6" s="487">
        <v>0</v>
      </c>
      <c r="H6" s="487">
        <v>22000</v>
      </c>
      <c r="I6" s="847">
        <v>0</v>
      </c>
      <c r="J6" s="501">
        <v>0</v>
      </c>
    </row>
    <row r="7" spans="2:10" s="372" customFormat="1" x14ac:dyDescent="0.25">
      <c r="B7" s="3869" t="s">
        <v>2029</v>
      </c>
      <c r="C7" s="3870">
        <v>22635</v>
      </c>
      <c r="D7" s="3870"/>
      <c r="E7" s="3871"/>
      <c r="F7" s="486">
        <v>3559</v>
      </c>
      <c r="G7" s="486">
        <v>0</v>
      </c>
      <c r="H7" s="486">
        <v>822.94</v>
      </c>
      <c r="I7" s="846">
        <v>1142.5999999999999</v>
      </c>
      <c r="J7" s="500">
        <v>365.8851325465132</v>
      </c>
    </row>
    <row r="8" spans="2:10" s="372" customFormat="1" x14ac:dyDescent="0.25">
      <c r="B8" s="3869" t="s">
        <v>2030</v>
      </c>
      <c r="C8" s="3870">
        <v>91</v>
      </c>
      <c r="D8" s="3870"/>
      <c r="E8" s="3871"/>
      <c r="F8" s="486">
        <v>98.64</v>
      </c>
      <c r="G8" s="486">
        <v>241.65</v>
      </c>
      <c r="H8" s="486">
        <v>32</v>
      </c>
      <c r="I8" s="846">
        <v>84</v>
      </c>
      <c r="J8" s="500">
        <v>0</v>
      </c>
    </row>
    <row r="9" spans="2:10" s="372" customFormat="1" x14ac:dyDescent="0.25">
      <c r="B9" s="3869" t="s">
        <v>2031</v>
      </c>
      <c r="C9" s="3870">
        <v>22726</v>
      </c>
      <c r="D9" s="3870"/>
      <c r="E9" s="3871"/>
      <c r="F9" s="487">
        <v>3657.64</v>
      </c>
      <c r="G9" s="487">
        <v>241.65</v>
      </c>
      <c r="H9" s="487">
        <v>854.94</v>
      </c>
      <c r="I9" s="487">
        <v>1226.5999999999999</v>
      </c>
      <c r="J9" s="501">
        <v>365.8851325465132</v>
      </c>
    </row>
    <row r="10" spans="2:10" s="372" customFormat="1" x14ac:dyDescent="0.25">
      <c r="B10" s="3869" t="s">
        <v>2032</v>
      </c>
      <c r="C10" s="3870">
        <v>1403</v>
      </c>
      <c r="D10" s="3870"/>
      <c r="E10" s="3871"/>
      <c r="F10" s="486">
        <v>-34</v>
      </c>
      <c r="G10" s="486">
        <v>1568.73</v>
      </c>
      <c r="H10" s="486">
        <v>6110.4146000000001</v>
      </c>
      <c r="I10" s="846">
        <v>10216.549999999999</v>
      </c>
      <c r="J10" s="500">
        <v>13273.606601167099</v>
      </c>
    </row>
    <row r="11" spans="2:10" s="372" customFormat="1" x14ac:dyDescent="0.25">
      <c r="B11" s="3869" t="s">
        <v>2033</v>
      </c>
      <c r="C11" s="3870">
        <v>42.94</v>
      </c>
      <c r="D11" s="3870"/>
      <c r="E11" s="3871"/>
      <c r="F11" s="486">
        <v>110</v>
      </c>
      <c r="G11" s="486">
        <v>0</v>
      </c>
      <c r="H11" s="486">
        <v>0</v>
      </c>
      <c r="I11" s="846">
        <v>0</v>
      </c>
      <c r="J11" s="500">
        <v>0</v>
      </c>
    </row>
    <row r="12" spans="2:10" s="372" customFormat="1" x14ac:dyDescent="0.25">
      <c r="B12" s="3869" t="s">
        <v>2034</v>
      </c>
      <c r="C12" s="3870">
        <v>1445.94</v>
      </c>
      <c r="D12" s="3870"/>
      <c r="E12" s="3871"/>
      <c r="F12" s="487">
        <v>76</v>
      </c>
      <c r="G12" s="487">
        <v>1568.73</v>
      </c>
      <c r="H12" s="487">
        <v>6110.4146000000001</v>
      </c>
      <c r="I12" s="487">
        <v>10216.549999999999</v>
      </c>
      <c r="J12" s="501">
        <v>13273.606601167099</v>
      </c>
    </row>
    <row r="13" spans="2:10" s="372" customFormat="1" x14ac:dyDescent="0.25">
      <c r="B13" s="3869" t="s">
        <v>2035</v>
      </c>
      <c r="C13" s="3870">
        <v>42</v>
      </c>
      <c r="D13" s="3870"/>
      <c r="E13" s="3871"/>
      <c r="F13" s="487">
        <v>0</v>
      </c>
      <c r="G13" s="487">
        <v>0</v>
      </c>
      <c r="H13" s="487">
        <v>0</v>
      </c>
      <c r="I13" s="847">
        <v>0</v>
      </c>
      <c r="J13" s="501">
        <v>0</v>
      </c>
    </row>
    <row r="14" spans="2:10" s="372" customFormat="1" x14ac:dyDescent="0.25">
      <c r="B14" s="3869" t="s">
        <v>2036</v>
      </c>
      <c r="C14" s="3870">
        <v>0</v>
      </c>
      <c r="D14" s="3870"/>
      <c r="E14" s="3871"/>
      <c r="F14" s="487">
        <v>8162</v>
      </c>
      <c r="G14" s="487">
        <v>0</v>
      </c>
      <c r="H14" s="487">
        <v>0</v>
      </c>
      <c r="I14" s="847">
        <v>0</v>
      </c>
      <c r="J14" s="501">
        <v>0</v>
      </c>
    </row>
    <row r="15" spans="2:10" s="372" customFormat="1" x14ac:dyDescent="0.25">
      <c r="B15" s="3869" t="s">
        <v>2037</v>
      </c>
      <c r="C15" s="3870">
        <v>573.79999999999995</v>
      </c>
      <c r="D15" s="3870"/>
      <c r="E15" s="3871"/>
      <c r="F15" s="488">
        <v>335.76769999999999</v>
      </c>
      <c r="G15" s="488">
        <v>404.91</v>
      </c>
      <c r="H15" s="488">
        <v>1354.31</v>
      </c>
      <c r="I15" s="848">
        <v>1174.1500000000001</v>
      </c>
      <c r="J15" s="502">
        <v>1071.99</v>
      </c>
    </row>
    <row r="16" spans="2:10" s="372" customFormat="1" x14ac:dyDescent="0.25">
      <c r="B16" s="3869" t="s">
        <v>2038</v>
      </c>
      <c r="C16" s="3870">
        <v>0</v>
      </c>
      <c r="D16" s="3870"/>
      <c r="E16" s="3871"/>
      <c r="F16" s="488">
        <v>0</v>
      </c>
      <c r="G16" s="488">
        <v>22</v>
      </c>
      <c r="H16" s="488">
        <v>76.34</v>
      </c>
      <c r="I16" s="848">
        <v>78.42</v>
      </c>
      <c r="J16" s="502">
        <v>98.93</v>
      </c>
    </row>
    <row r="17" spans="1:12" x14ac:dyDescent="0.25">
      <c r="A17" s="372"/>
      <c r="B17" s="3869" t="s">
        <v>2039</v>
      </c>
      <c r="C17" s="3870">
        <v>573.79999999999995</v>
      </c>
      <c r="D17" s="3870"/>
      <c r="E17" s="3871"/>
      <c r="F17" s="487">
        <v>335.76769999999999</v>
      </c>
      <c r="G17" s="487">
        <v>426.91</v>
      </c>
      <c r="H17" s="487">
        <v>1430.6499999999999</v>
      </c>
      <c r="I17" s="487">
        <v>1252.5700000000002</v>
      </c>
      <c r="J17" s="501">
        <v>1170.92</v>
      </c>
    </row>
    <row r="18" spans="1:12" x14ac:dyDescent="0.25">
      <c r="A18" s="372"/>
      <c r="B18" s="3869" t="s">
        <v>2040</v>
      </c>
      <c r="C18" s="3870">
        <v>26620.739999999998</v>
      </c>
      <c r="D18" s="3870"/>
      <c r="E18" s="3871"/>
      <c r="F18" s="487">
        <v>12231.4077</v>
      </c>
      <c r="G18" s="487">
        <v>2237.29</v>
      </c>
      <c r="H18" s="487">
        <v>30396.0046</v>
      </c>
      <c r="I18" s="847">
        <v>12695.72</v>
      </c>
      <c r="J18" s="501">
        <v>14810.411733713612</v>
      </c>
    </row>
    <row r="19" spans="1:12" ht="15.75" x14ac:dyDescent="0.25">
      <c r="A19" s="372"/>
      <c r="B19" s="503" t="s">
        <v>2001</v>
      </c>
      <c r="C19" s="489"/>
      <c r="D19" s="489"/>
      <c r="E19" s="489"/>
      <c r="F19" s="489"/>
      <c r="G19" s="489"/>
      <c r="H19" s="489"/>
      <c r="I19" s="489"/>
      <c r="J19" s="504"/>
    </row>
    <row r="20" spans="1:12" ht="15.75" x14ac:dyDescent="0.25">
      <c r="A20" s="372"/>
      <c r="B20" s="505" t="s">
        <v>2041</v>
      </c>
      <c r="J20" s="506"/>
    </row>
    <row r="21" spans="1:12" ht="13.5" customHeight="1" x14ac:dyDescent="0.25">
      <c r="A21" s="372"/>
      <c r="B21" s="3879"/>
      <c r="C21" s="3880"/>
      <c r="D21" s="3880"/>
      <c r="E21" s="3880"/>
      <c r="F21" s="3880"/>
      <c r="G21" s="3880"/>
      <c r="H21" s="3880"/>
      <c r="I21" s="3880"/>
      <c r="J21" s="3881"/>
    </row>
    <row r="22" spans="1:12" x14ac:dyDescent="0.3">
      <c r="B22" s="507"/>
      <c r="J22" s="506"/>
    </row>
    <row r="23" spans="1:12" x14ac:dyDescent="0.25">
      <c r="A23" s="372"/>
      <c r="B23" s="3882" t="s">
        <v>2042</v>
      </c>
      <c r="C23" s="3883"/>
      <c r="D23" s="3883"/>
      <c r="E23" s="3883"/>
      <c r="F23" s="3883"/>
      <c r="G23" s="3883"/>
      <c r="H23" s="3883"/>
      <c r="I23" s="3883"/>
      <c r="J23" s="3884"/>
    </row>
    <row r="24" spans="1:12" x14ac:dyDescent="0.25">
      <c r="A24" s="372"/>
      <c r="B24" s="972"/>
      <c r="C24" s="973"/>
      <c r="D24" s="973"/>
      <c r="E24" s="973"/>
      <c r="F24" s="974"/>
      <c r="G24" s="974"/>
      <c r="H24" s="974"/>
      <c r="I24" s="974"/>
      <c r="J24" s="975"/>
    </row>
    <row r="25" spans="1:12" ht="49.5" x14ac:dyDescent="0.25">
      <c r="A25" s="372"/>
      <c r="B25" s="3885" t="s">
        <v>2432</v>
      </c>
      <c r="C25" s="3886"/>
      <c r="D25" s="3886"/>
      <c r="E25" s="3887"/>
      <c r="F25" s="1115" t="s">
        <v>2287</v>
      </c>
      <c r="G25" s="1115" t="s">
        <v>2043</v>
      </c>
      <c r="H25" s="1116" t="s">
        <v>2044</v>
      </c>
      <c r="I25" s="1116" t="s">
        <v>2045</v>
      </c>
      <c r="J25" s="1117" t="s">
        <v>2046</v>
      </c>
      <c r="L25" s="390"/>
    </row>
    <row r="26" spans="1:12" ht="15.75" x14ac:dyDescent="0.25">
      <c r="A26" s="372"/>
      <c r="B26" s="1118" t="s">
        <v>1096</v>
      </c>
      <c r="C26" s="1119"/>
      <c r="D26" s="1119"/>
      <c r="E26" s="1120"/>
      <c r="F26" s="216">
        <v>226.49761635146419</v>
      </c>
      <c r="G26" s="1110">
        <v>1660.2275278562324</v>
      </c>
      <c r="H26" s="1111">
        <v>111914.67188589771</v>
      </c>
      <c r="I26" s="1112">
        <v>783182.85010636866</v>
      </c>
      <c r="J26" s="1113">
        <v>67.409237594323855</v>
      </c>
      <c r="L26" s="390"/>
    </row>
    <row r="27" spans="1:12" ht="15.75" x14ac:dyDescent="0.25">
      <c r="A27" s="372"/>
      <c r="B27" s="1118" t="s">
        <v>2047</v>
      </c>
      <c r="C27" s="1119"/>
      <c r="D27" s="1119"/>
      <c r="E27" s="1120"/>
      <c r="F27" s="216">
        <v>226.95466551568416</v>
      </c>
      <c r="G27" s="1110">
        <v>1663.5776982299649</v>
      </c>
      <c r="H27" s="1111">
        <v>101376.19315806718</v>
      </c>
      <c r="I27" s="1112">
        <v>717000.97515933076</v>
      </c>
      <c r="J27" s="1113">
        <v>60.938658450357167</v>
      </c>
      <c r="L27" s="390"/>
    </row>
    <row r="28" spans="1:12" ht="15.75" x14ac:dyDescent="0.25">
      <c r="A28" s="372"/>
      <c r="B28" s="1118" t="s">
        <v>9</v>
      </c>
      <c r="C28" s="1119"/>
      <c r="D28" s="1119"/>
      <c r="E28" s="1120"/>
      <c r="F28" s="216">
        <v>196.46086094549045</v>
      </c>
      <c r="G28" s="1110">
        <v>1440.0581107304449</v>
      </c>
      <c r="H28" s="1111">
        <v>62248.046946401744</v>
      </c>
      <c r="I28" s="1112">
        <v>459778.56921302341</v>
      </c>
      <c r="J28" s="1113">
        <v>43.226066005647148</v>
      </c>
      <c r="L28" s="390"/>
    </row>
    <row r="29" spans="1:12" ht="15.75" x14ac:dyDescent="0.25">
      <c r="A29" s="372"/>
      <c r="B29" s="1118" t="s">
        <v>77</v>
      </c>
      <c r="C29" s="1119"/>
      <c r="D29" s="1119"/>
      <c r="E29" s="1120"/>
      <c r="F29" s="216">
        <v>212.38162243623961</v>
      </c>
      <c r="G29" s="1110">
        <v>1556.7572924576364</v>
      </c>
      <c r="H29" s="1111">
        <v>120675.15291795257</v>
      </c>
      <c r="I29" s="1112">
        <v>901262.1919712883</v>
      </c>
      <c r="J29" s="1113">
        <v>77.516998637240334</v>
      </c>
      <c r="L29" s="390"/>
    </row>
    <row r="30" spans="1:12" ht="15.75" x14ac:dyDescent="0.25">
      <c r="A30" s="372"/>
      <c r="B30" s="1118" t="s">
        <v>11</v>
      </c>
      <c r="C30" s="1119"/>
      <c r="D30" s="1119"/>
      <c r="E30" s="1120"/>
      <c r="F30" s="216">
        <v>232.70041197882605</v>
      </c>
      <c r="G30" s="1110">
        <v>1705.6940198047948</v>
      </c>
      <c r="H30" s="1111">
        <v>157531.02411079602</v>
      </c>
      <c r="I30" s="1112">
        <v>1260371.8243467691</v>
      </c>
      <c r="J30" s="1113">
        <v>92.355969055237921</v>
      </c>
      <c r="L30" s="390"/>
    </row>
    <row r="31" spans="1:12" ht="15.75" x14ac:dyDescent="0.25">
      <c r="A31" s="372"/>
      <c r="B31" s="1118" t="s">
        <v>382</v>
      </c>
      <c r="C31" s="1119"/>
      <c r="D31" s="1119"/>
      <c r="E31" s="1120"/>
      <c r="F31" s="216">
        <v>234.26157957307791</v>
      </c>
      <c r="G31" s="1110">
        <v>1717.137378270661</v>
      </c>
      <c r="H31" s="1111">
        <v>133366.42965364741</v>
      </c>
      <c r="I31" s="1112">
        <v>1105175.8560986861</v>
      </c>
      <c r="J31" s="1113">
        <v>77.667885715679603</v>
      </c>
      <c r="K31" s="484"/>
      <c r="L31" s="484"/>
    </row>
    <row r="32" spans="1:12" ht="15.75" x14ac:dyDescent="0.25">
      <c r="A32" s="372"/>
      <c r="B32" s="1118" t="s">
        <v>2309</v>
      </c>
      <c r="C32" s="1119"/>
      <c r="D32" s="1119"/>
      <c r="E32" s="1120"/>
      <c r="F32" s="216">
        <v>243.2249713620491</v>
      </c>
      <c r="G32" s="1110">
        <v>1782.83904008382</v>
      </c>
      <c r="H32" s="1111">
        <v>137173.9694421186</v>
      </c>
      <c r="I32" s="1112">
        <v>1160617.8764659723</v>
      </c>
      <c r="J32" s="1113">
        <v>76.941308978554446</v>
      </c>
      <c r="K32" s="484"/>
      <c r="L32" s="484"/>
    </row>
    <row r="33" spans="1:12" ht="15.75" x14ac:dyDescent="0.25">
      <c r="A33" s="372"/>
      <c r="B33" s="1118" t="s">
        <v>2422</v>
      </c>
      <c r="C33" s="1119"/>
      <c r="D33" s="1119"/>
      <c r="E33" s="1120"/>
      <c r="F33" s="216">
        <v>120.65670931597803</v>
      </c>
      <c r="G33" s="1110">
        <v>884.41367928611896</v>
      </c>
      <c r="H33" s="1111">
        <v>71166.684925611</v>
      </c>
      <c r="I33" s="1112">
        <v>595411.70343512751</v>
      </c>
      <c r="J33" s="1114">
        <v>80.467643810140203</v>
      </c>
      <c r="K33" s="484"/>
      <c r="L33" s="484"/>
    </row>
    <row r="34" spans="1:12" ht="15.75" x14ac:dyDescent="0.25">
      <c r="A34" s="372"/>
      <c r="B34" s="1118" t="s">
        <v>2423</v>
      </c>
      <c r="C34" s="1119"/>
      <c r="D34" s="1119"/>
      <c r="E34" s="1120"/>
      <c r="F34" s="216">
        <v>121.05443751330797</v>
      </c>
      <c r="G34" s="216">
        <v>887.32902697254735</v>
      </c>
      <c r="H34" s="216">
        <v>60616.051396157163</v>
      </c>
      <c r="I34" s="216">
        <v>524487.66342030035</v>
      </c>
      <c r="J34" s="216">
        <v>68.312936412067288</v>
      </c>
      <c r="K34" s="484"/>
      <c r="L34" s="484"/>
    </row>
    <row r="35" spans="1:12" ht="32.25" thickBot="1" x14ac:dyDescent="0.3">
      <c r="A35" s="372"/>
      <c r="B35" s="878" t="s">
        <v>2383</v>
      </c>
      <c r="C35" s="497"/>
      <c r="D35" s="497"/>
      <c r="E35" s="403"/>
      <c r="F35" s="508"/>
      <c r="G35" s="508"/>
      <c r="H35" s="508"/>
      <c r="I35" s="508"/>
      <c r="J35" s="509"/>
    </row>
  </sheetData>
  <mergeCells count="21">
    <mergeCell ref="B21:J21"/>
    <mergeCell ref="B23:J23"/>
    <mergeCell ref="B25:E25"/>
    <mergeCell ref="B13:E13"/>
    <mergeCell ref="B14:E14"/>
    <mergeCell ref="B15:E15"/>
    <mergeCell ref="B16:E16"/>
    <mergeCell ref="B17:E17"/>
    <mergeCell ref="B18:E18"/>
    <mergeCell ref="B12:E12"/>
    <mergeCell ref="B1:J1"/>
    <mergeCell ref="B2:J2"/>
    <mergeCell ref="B3:E3"/>
    <mergeCell ref="B4:E4"/>
    <mergeCell ref="B5:E5"/>
    <mergeCell ref="B6:E6"/>
    <mergeCell ref="B7:E7"/>
    <mergeCell ref="B8:E8"/>
    <mergeCell ref="B9:E9"/>
    <mergeCell ref="B10:E10"/>
    <mergeCell ref="B11:E11"/>
  </mergeCells>
  <pageMargins left="0.70866141732283472" right="0.70866141732283472" top="0.74803149606299213" bottom="0.74803149606299213" header="0.31496062992125984" footer="0.31496062992125984"/>
  <pageSetup paperSize="9" scale="62" orientation="portrait" r:id="rId1"/>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45442B-F8F5-4A08-982C-D370A0F2F8F0}">
  <sheetPr codeName="Sheet103">
    <tabColor theme="0"/>
    <pageSetUpPr fitToPage="1"/>
  </sheetPr>
  <dimension ref="A1:G42"/>
  <sheetViews>
    <sheetView view="pageLayout" topLeftCell="B29" zoomScale="70" zoomScaleNormal="100" zoomScalePageLayoutView="70" workbookViewId="0">
      <selection activeCell="D22" sqref="D22"/>
    </sheetView>
  </sheetViews>
  <sheetFormatPr defaultColWidth="9.140625" defaultRowHeight="16.5" x14ac:dyDescent="0.3"/>
  <cols>
    <col min="1" max="1" width="0" style="4" hidden="1" customWidth="1"/>
    <col min="2" max="2" width="15.28515625" style="390" customWidth="1"/>
    <col min="3" max="3" width="16.140625" style="390" customWidth="1"/>
    <col min="4" max="4" width="11.42578125" style="390" customWidth="1"/>
    <col min="5" max="5" width="29.7109375" style="390" customWidth="1"/>
    <col min="6" max="6" width="19.5703125" style="390" customWidth="1"/>
    <col min="7" max="7" width="23.7109375" style="390" customWidth="1"/>
    <col min="8" max="16384" width="9.140625" style="390"/>
  </cols>
  <sheetData>
    <row r="1" spans="2:7" s="390" customFormat="1" ht="18.75" customHeight="1" x14ac:dyDescent="0.25">
      <c r="B1" s="3936" t="s">
        <v>2048</v>
      </c>
      <c r="C1" s="3937"/>
      <c r="D1" s="3937"/>
      <c r="E1" s="3937"/>
      <c r="F1" s="3937"/>
      <c r="G1" s="3938"/>
    </row>
    <row r="2" spans="2:7" s="390" customFormat="1" ht="15.75" x14ac:dyDescent="0.25">
      <c r="B2" s="3939"/>
      <c r="C2" s="3940"/>
      <c r="D2" s="3940"/>
      <c r="E2" s="3940"/>
      <c r="F2" s="3940"/>
      <c r="G2" s="3941"/>
    </row>
    <row r="3" spans="2:7" s="390" customFormat="1" ht="44.25" customHeight="1" x14ac:dyDescent="0.25">
      <c r="B3" s="401" t="s">
        <v>2049</v>
      </c>
      <c r="C3" s="3942" t="s">
        <v>2050</v>
      </c>
      <c r="D3" s="3942"/>
      <c r="E3" s="3942"/>
      <c r="F3" s="3931" t="s">
        <v>2051</v>
      </c>
      <c r="G3" s="3932"/>
    </row>
    <row r="4" spans="2:7" s="390" customFormat="1" x14ac:dyDescent="0.25">
      <c r="B4" s="401"/>
      <c r="C4" s="3933" t="s">
        <v>2052</v>
      </c>
      <c r="D4" s="3933"/>
      <c r="E4" s="3933"/>
      <c r="F4" s="3934">
        <v>12135</v>
      </c>
      <c r="G4" s="3935"/>
    </row>
    <row r="5" spans="2:7" s="390" customFormat="1" x14ac:dyDescent="0.25">
      <c r="B5" s="401"/>
      <c r="C5" s="3933" t="s">
        <v>1153</v>
      </c>
      <c r="D5" s="3933"/>
      <c r="E5" s="3933"/>
      <c r="F5" s="3934">
        <v>10638</v>
      </c>
      <c r="G5" s="3935"/>
    </row>
    <row r="6" spans="2:7" s="390" customFormat="1" x14ac:dyDescent="0.25">
      <c r="B6" s="401"/>
      <c r="C6" s="3933" t="s">
        <v>2053</v>
      </c>
      <c r="D6" s="3933"/>
      <c r="E6" s="3933"/>
      <c r="F6" s="3934">
        <v>11135</v>
      </c>
      <c r="G6" s="3935"/>
    </row>
    <row r="7" spans="2:7" s="390" customFormat="1" x14ac:dyDescent="0.25">
      <c r="B7" s="401"/>
      <c r="C7" s="3933" t="s">
        <v>1156</v>
      </c>
      <c r="D7" s="3933"/>
      <c r="E7" s="3933"/>
      <c r="F7" s="3934">
        <v>10440</v>
      </c>
      <c r="G7" s="3935"/>
    </row>
    <row r="8" spans="2:7" s="390" customFormat="1" ht="33" customHeight="1" x14ac:dyDescent="0.25">
      <c r="B8" s="401" t="s">
        <v>1975</v>
      </c>
      <c r="C8" s="3930" t="s">
        <v>2054</v>
      </c>
      <c r="D8" s="3930"/>
      <c r="E8" s="3930"/>
      <c r="F8" s="3931" t="s">
        <v>2055</v>
      </c>
      <c r="G8" s="3932"/>
    </row>
    <row r="9" spans="2:7" s="390" customFormat="1" ht="37.5" customHeight="1" x14ac:dyDescent="0.25">
      <c r="B9" s="401" t="s">
        <v>1983</v>
      </c>
      <c r="C9" s="3930" t="s">
        <v>132</v>
      </c>
      <c r="D9" s="3930"/>
      <c r="E9" s="3930"/>
      <c r="F9" s="3931" t="s">
        <v>2051</v>
      </c>
      <c r="G9" s="3932"/>
    </row>
    <row r="10" spans="2:7" s="390" customFormat="1" ht="15.75" x14ac:dyDescent="0.25">
      <c r="B10" s="402"/>
      <c r="C10" s="3933" t="s">
        <v>2056</v>
      </c>
      <c r="D10" s="3933"/>
      <c r="E10" s="3933"/>
      <c r="F10" s="3934">
        <v>6900</v>
      </c>
      <c r="G10" s="3935"/>
    </row>
    <row r="11" spans="2:7" s="390" customFormat="1" ht="15.75" x14ac:dyDescent="0.25">
      <c r="B11" s="402"/>
      <c r="C11" s="3933" t="s">
        <v>2057</v>
      </c>
      <c r="D11" s="3933"/>
      <c r="E11" s="3933"/>
      <c r="F11" s="3934">
        <v>5000</v>
      </c>
      <c r="G11" s="3935"/>
    </row>
    <row r="12" spans="2:7" s="390" customFormat="1" ht="15.75" x14ac:dyDescent="0.25">
      <c r="B12" s="402"/>
      <c r="C12" s="3933" t="s">
        <v>2058</v>
      </c>
      <c r="D12" s="3933"/>
      <c r="E12" s="3933"/>
      <c r="F12" s="3934">
        <v>4750</v>
      </c>
      <c r="G12" s="3935"/>
    </row>
    <row r="13" spans="2:7" s="390" customFormat="1" ht="15.75" x14ac:dyDescent="0.25">
      <c r="B13" s="402"/>
      <c r="C13" s="3933" t="s">
        <v>2059</v>
      </c>
      <c r="D13" s="3933"/>
      <c r="E13" s="3933"/>
      <c r="F13" s="3934">
        <v>2310</v>
      </c>
      <c r="G13" s="3935"/>
    </row>
    <row r="14" spans="2:7" s="390" customFormat="1" ht="18.75" customHeight="1" x14ac:dyDescent="0.25">
      <c r="B14" s="2623" t="s">
        <v>2294</v>
      </c>
      <c r="C14" s="2624"/>
      <c r="D14" s="2624"/>
      <c r="E14" s="2624"/>
      <c r="F14" s="523"/>
      <c r="G14" s="526"/>
    </row>
    <row r="15" spans="2:7" s="390" customFormat="1" ht="19.5" customHeight="1" x14ac:dyDescent="0.25">
      <c r="B15" s="3928" t="s">
        <v>2295</v>
      </c>
      <c r="C15" s="3929"/>
      <c r="D15" s="3929"/>
      <c r="E15" s="3929"/>
      <c r="F15" s="523"/>
      <c r="G15" s="524"/>
    </row>
    <row r="16" spans="2:7" x14ac:dyDescent="0.3">
      <c r="B16" s="510"/>
      <c r="G16" s="399"/>
    </row>
    <row r="17" spans="2:7" s="390" customFormat="1" ht="20.25" x14ac:dyDescent="0.25">
      <c r="B17" s="3917" t="s">
        <v>2060</v>
      </c>
      <c r="C17" s="3918"/>
      <c r="D17" s="3918"/>
      <c r="E17" s="3918"/>
      <c r="F17" s="3918"/>
      <c r="G17" s="3919"/>
    </row>
    <row r="18" spans="2:7" s="390" customFormat="1" x14ac:dyDescent="0.25">
      <c r="B18" s="3920"/>
      <c r="C18" s="3921"/>
      <c r="D18" s="3921"/>
      <c r="E18" s="3921"/>
      <c r="F18" s="3921"/>
      <c r="G18" s="3922"/>
    </row>
    <row r="19" spans="2:7" s="390" customFormat="1" ht="20.25" x14ac:dyDescent="0.25">
      <c r="B19" s="3909" t="s">
        <v>2061</v>
      </c>
      <c r="C19" s="3910"/>
      <c r="D19" s="3910"/>
      <c r="E19" s="3910"/>
      <c r="F19" s="3910"/>
      <c r="G19" s="3911"/>
    </row>
    <row r="20" spans="2:7" s="390" customFormat="1" ht="15.75" x14ac:dyDescent="0.25">
      <c r="B20" s="3923"/>
      <c r="C20" s="3924"/>
      <c r="D20" s="3924"/>
      <c r="E20" s="3924"/>
      <c r="F20" s="3924"/>
      <c r="G20" s="3925"/>
    </row>
    <row r="21" spans="2:7" s="390" customFormat="1" ht="105" customHeight="1" x14ac:dyDescent="0.25">
      <c r="B21" s="3926" t="s">
        <v>1649</v>
      </c>
      <c r="C21" s="3927"/>
      <c r="D21" s="462" t="s">
        <v>2062</v>
      </c>
      <c r="E21" s="462" t="s">
        <v>2063</v>
      </c>
      <c r="F21" s="471" t="s">
        <v>2064</v>
      </c>
      <c r="G21" s="528" t="s">
        <v>2065</v>
      </c>
    </row>
    <row r="22" spans="2:7" s="390" customFormat="1" ht="15.75" x14ac:dyDescent="0.25">
      <c r="B22" s="3915" t="s">
        <v>1151</v>
      </c>
      <c r="C22" s="3916"/>
      <c r="D22" s="490">
        <v>1</v>
      </c>
      <c r="E22" s="538">
        <v>1.411</v>
      </c>
      <c r="F22" s="468">
        <v>8.8800000000000008</v>
      </c>
      <c r="G22" s="539">
        <v>0.98299999999999998</v>
      </c>
    </row>
    <row r="23" spans="2:7" s="390" customFormat="1" ht="15.75" x14ac:dyDescent="0.25">
      <c r="B23" s="3915" t="s">
        <v>1154</v>
      </c>
      <c r="C23" s="3916"/>
      <c r="D23" s="490">
        <v>1</v>
      </c>
      <c r="E23" s="538">
        <v>1.21</v>
      </c>
      <c r="F23" s="468">
        <v>7.61</v>
      </c>
      <c r="G23" s="539">
        <v>0.9879</v>
      </c>
    </row>
    <row r="24" spans="2:7" s="390" customFormat="1" ht="15.75" x14ac:dyDescent="0.25">
      <c r="B24" s="3915" t="s">
        <v>1153</v>
      </c>
      <c r="C24" s="3916"/>
      <c r="D24" s="490">
        <v>1</v>
      </c>
      <c r="E24" s="538">
        <v>1.2849999999999999</v>
      </c>
      <c r="F24" s="468">
        <v>8.08</v>
      </c>
      <c r="G24" s="539">
        <v>0.98640000000000005</v>
      </c>
    </row>
    <row r="25" spans="2:7" s="390" customFormat="1" ht="15.75" x14ac:dyDescent="0.25">
      <c r="B25" s="3915" t="s">
        <v>1049</v>
      </c>
      <c r="C25" s="3916"/>
      <c r="D25" s="490">
        <v>1</v>
      </c>
      <c r="E25" s="538">
        <v>1.288</v>
      </c>
      <c r="F25" s="468">
        <v>8.1</v>
      </c>
      <c r="G25" s="539">
        <v>0.98619999999999997</v>
      </c>
    </row>
    <row r="26" spans="2:7" s="390" customFormat="1" ht="15.75" x14ac:dyDescent="0.25">
      <c r="B26" s="3915" t="s">
        <v>1892</v>
      </c>
      <c r="C26" s="3916"/>
      <c r="D26" s="490">
        <v>1</v>
      </c>
      <c r="E26" s="538">
        <v>1.1719999999999999</v>
      </c>
      <c r="F26" s="468">
        <v>7.37</v>
      </c>
      <c r="G26" s="539">
        <v>0.98770000000000002</v>
      </c>
    </row>
    <row r="27" spans="2:7" s="390" customFormat="1" ht="15.75" x14ac:dyDescent="0.25">
      <c r="B27" s="3915" t="s">
        <v>1891</v>
      </c>
      <c r="C27" s="3916"/>
      <c r="D27" s="490">
        <v>1</v>
      </c>
      <c r="E27" s="538">
        <v>1.0424</v>
      </c>
      <c r="F27" s="468">
        <v>6.74</v>
      </c>
      <c r="G27" s="539">
        <v>0.9899</v>
      </c>
    </row>
    <row r="28" spans="2:7" s="390" customFormat="1" ht="15.75" x14ac:dyDescent="0.25">
      <c r="B28" s="3915" t="s">
        <v>2066</v>
      </c>
      <c r="C28" s="3916"/>
      <c r="D28" s="490">
        <v>1</v>
      </c>
      <c r="E28" s="538">
        <v>1.17</v>
      </c>
      <c r="F28" s="468">
        <v>7.33</v>
      </c>
      <c r="G28" s="529"/>
    </row>
    <row r="29" spans="2:7" s="390" customFormat="1" ht="21.75" customHeight="1" x14ac:dyDescent="0.25">
      <c r="B29" s="530" t="s">
        <v>2296</v>
      </c>
      <c r="C29" s="527"/>
      <c r="D29" s="527"/>
      <c r="E29" s="531"/>
      <c r="F29" s="532"/>
      <c r="G29" s="524"/>
    </row>
    <row r="30" spans="2:7" s="390" customFormat="1" ht="15.75" x14ac:dyDescent="0.25">
      <c r="B30" s="530"/>
      <c r="C30" s="527"/>
      <c r="D30" s="527"/>
      <c r="E30" s="531"/>
      <c r="F30" s="3907"/>
      <c r="G30" s="3908"/>
    </row>
    <row r="31" spans="2:7" s="390" customFormat="1" ht="18.75" customHeight="1" x14ac:dyDescent="0.25">
      <c r="B31" s="3909" t="s">
        <v>2067</v>
      </c>
      <c r="C31" s="3910"/>
      <c r="D31" s="3910"/>
      <c r="E31" s="3910"/>
      <c r="F31" s="3910"/>
      <c r="G31" s="3911"/>
    </row>
    <row r="32" spans="2:7" s="390" customFormat="1" ht="18.75" customHeight="1" x14ac:dyDescent="0.25">
      <c r="B32" s="3912"/>
      <c r="C32" s="3913"/>
      <c r="D32" s="3913"/>
      <c r="E32" s="3913"/>
      <c r="F32" s="3913"/>
      <c r="G32" s="3914"/>
    </row>
    <row r="33" spans="2:7" s="390" customFormat="1" ht="15.75" x14ac:dyDescent="0.25">
      <c r="B33" s="3902" t="s">
        <v>2068</v>
      </c>
      <c r="C33" s="3903"/>
      <c r="D33" s="3903"/>
      <c r="E33" s="3904"/>
      <c r="F33" s="3905" t="s">
        <v>2069</v>
      </c>
      <c r="G33" s="3906"/>
    </row>
    <row r="34" spans="2:7" s="390" customFormat="1" ht="15.75" x14ac:dyDescent="0.25">
      <c r="B34" s="3902" t="s">
        <v>2070</v>
      </c>
      <c r="C34" s="3903"/>
      <c r="D34" s="3903"/>
      <c r="E34" s="3904"/>
      <c r="F34" s="3905" t="s">
        <v>2071</v>
      </c>
      <c r="G34" s="3906"/>
    </row>
    <row r="35" spans="2:7" s="390" customFormat="1" ht="15.75" x14ac:dyDescent="0.25">
      <c r="B35" s="3902" t="s">
        <v>2072</v>
      </c>
      <c r="C35" s="3903"/>
      <c r="D35" s="3903"/>
      <c r="E35" s="3904"/>
      <c r="F35" s="3905" t="s">
        <v>2073</v>
      </c>
      <c r="G35" s="3906"/>
    </row>
    <row r="36" spans="2:7" s="390" customFormat="1" ht="15.75" x14ac:dyDescent="0.25">
      <c r="B36" s="3902" t="s">
        <v>2068</v>
      </c>
      <c r="C36" s="3903"/>
      <c r="D36" s="3903"/>
      <c r="E36" s="3904"/>
      <c r="F36" s="3905" t="s">
        <v>2074</v>
      </c>
      <c r="G36" s="3906"/>
    </row>
    <row r="37" spans="2:7" s="390" customFormat="1" ht="15.75" x14ac:dyDescent="0.25">
      <c r="B37" s="3902" t="s">
        <v>2075</v>
      </c>
      <c r="C37" s="3903"/>
      <c r="D37" s="3903"/>
      <c r="E37" s="3904"/>
      <c r="F37" s="3905" t="s">
        <v>2076</v>
      </c>
      <c r="G37" s="3906"/>
    </row>
    <row r="38" spans="2:7" s="390" customFormat="1" ht="15.75" x14ac:dyDescent="0.25">
      <c r="B38" s="530"/>
      <c r="C38" s="523"/>
      <c r="D38" s="523"/>
      <c r="E38" s="523"/>
      <c r="F38" s="523"/>
      <c r="G38" s="524"/>
    </row>
    <row r="39" spans="2:7" s="390" customFormat="1" ht="18.75" customHeight="1" x14ac:dyDescent="0.25">
      <c r="B39" s="3888" t="s">
        <v>2077</v>
      </c>
      <c r="C39" s="3889"/>
      <c r="D39" s="3889"/>
      <c r="E39" s="3889"/>
      <c r="F39" s="3889"/>
      <c r="G39" s="3890"/>
    </row>
    <row r="40" spans="2:7" s="390" customFormat="1" ht="18.75" customHeight="1" x14ac:dyDescent="0.25">
      <c r="B40" s="3891"/>
      <c r="C40" s="3892"/>
      <c r="D40" s="3892"/>
      <c r="E40" s="3892"/>
      <c r="F40" s="3892"/>
      <c r="G40" s="3893"/>
    </row>
    <row r="41" spans="2:7" s="390" customFormat="1" ht="31.5" customHeight="1" x14ac:dyDescent="0.25">
      <c r="B41" s="3894" t="s">
        <v>2078</v>
      </c>
      <c r="C41" s="3895"/>
      <c r="D41" s="3896" t="s">
        <v>2079</v>
      </c>
      <c r="E41" s="3896"/>
      <c r="F41" s="3896"/>
      <c r="G41" s="3897"/>
    </row>
    <row r="42" spans="2:7" s="390" customFormat="1" ht="30.75" customHeight="1" thickBot="1" x14ac:dyDescent="0.3">
      <c r="B42" s="3898" t="s">
        <v>112</v>
      </c>
      <c r="C42" s="3899"/>
      <c r="D42" s="3900" t="s">
        <v>2080</v>
      </c>
      <c r="E42" s="3900"/>
      <c r="F42" s="3900"/>
      <c r="G42" s="3901"/>
    </row>
  </sheetData>
  <mergeCells count="54">
    <mergeCell ref="C5:E5"/>
    <mergeCell ref="F5:G5"/>
    <mergeCell ref="B1:G2"/>
    <mergeCell ref="C3:E3"/>
    <mergeCell ref="F3:G3"/>
    <mergeCell ref="C4:E4"/>
    <mergeCell ref="F4:G4"/>
    <mergeCell ref="C6:E6"/>
    <mergeCell ref="F6:G6"/>
    <mergeCell ref="C7:E7"/>
    <mergeCell ref="F7:G7"/>
    <mergeCell ref="C8:E8"/>
    <mergeCell ref="F8:G8"/>
    <mergeCell ref="B15:E15"/>
    <mergeCell ref="C9:E9"/>
    <mergeCell ref="F9:G9"/>
    <mergeCell ref="C10:E10"/>
    <mergeCell ref="F10:G10"/>
    <mergeCell ref="C11:E11"/>
    <mergeCell ref="F11:G11"/>
    <mergeCell ref="C12:E12"/>
    <mergeCell ref="F12:G12"/>
    <mergeCell ref="C13:E13"/>
    <mergeCell ref="F13:G13"/>
    <mergeCell ref="B14:E14"/>
    <mergeCell ref="B28:C28"/>
    <mergeCell ref="B17:G17"/>
    <mergeCell ref="B18:G18"/>
    <mergeCell ref="B19:G19"/>
    <mergeCell ref="B20:G20"/>
    <mergeCell ref="B21:C21"/>
    <mergeCell ref="B22:C22"/>
    <mergeCell ref="B23:C23"/>
    <mergeCell ref="B24:C24"/>
    <mergeCell ref="B25:C25"/>
    <mergeCell ref="B26:C26"/>
    <mergeCell ref="B27:C27"/>
    <mergeCell ref="F30:G30"/>
    <mergeCell ref="B31:G32"/>
    <mergeCell ref="B33:E33"/>
    <mergeCell ref="F33:G33"/>
    <mergeCell ref="B34:E34"/>
    <mergeCell ref="F34:G34"/>
    <mergeCell ref="B35:E35"/>
    <mergeCell ref="F35:G35"/>
    <mergeCell ref="B36:E36"/>
    <mergeCell ref="F36:G36"/>
    <mergeCell ref="B37:E37"/>
    <mergeCell ref="F37:G37"/>
    <mergeCell ref="B39:G40"/>
    <mergeCell ref="B41:C41"/>
    <mergeCell ref="D41:G41"/>
    <mergeCell ref="B42:C42"/>
    <mergeCell ref="D42:G42"/>
  </mergeCells>
  <pageMargins left="0.70866141732283472" right="0.70866141732283472" top="0.74803149606299213" bottom="0.74803149606299213" header="0.31496062992125984" footer="0.31496062992125984"/>
  <pageSetup paperSize="9" scale="76" orientation="portrait" horizontalDpi="300" verticalDpi="300" r:id="rId1"/>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296C5B-DF14-49C8-BFCB-7523C0AAEF15}">
  <sheetPr codeName="Sheet104">
    <tabColor theme="0"/>
    <pageSetUpPr fitToPage="1"/>
  </sheetPr>
  <dimension ref="A1:G33"/>
  <sheetViews>
    <sheetView view="pageLayout" topLeftCell="B10" zoomScale="70" zoomScaleNormal="100" zoomScalePageLayoutView="70" workbookViewId="0">
      <selection activeCell="D42" sqref="D42"/>
    </sheetView>
  </sheetViews>
  <sheetFormatPr defaultColWidth="9.140625" defaultRowHeight="16.5" x14ac:dyDescent="0.3"/>
  <cols>
    <col min="1" max="1" width="0" style="4" hidden="1" customWidth="1"/>
    <col min="2" max="2" width="24.5703125" style="390" bestFit="1" customWidth="1"/>
    <col min="3" max="3" width="9.140625" style="390"/>
    <col min="4" max="4" width="15.42578125" style="390" customWidth="1"/>
    <col min="5" max="5" width="54.5703125" style="390" bestFit="1" customWidth="1"/>
    <col min="6" max="16384" width="9.140625" style="390"/>
  </cols>
  <sheetData>
    <row r="1" spans="2:7" s="390" customFormat="1" ht="20.25" x14ac:dyDescent="0.25">
      <c r="B1" s="3954" t="s">
        <v>2081</v>
      </c>
      <c r="C1" s="3955"/>
      <c r="D1" s="3955"/>
      <c r="E1" s="3955"/>
      <c r="F1" s="3955"/>
      <c r="G1" s="3956"/>
    </row>
    <row r="2" spans="2:7" s="390" customFormat="1" x14ac:dyDescent="0.25">
      <c r="B2" s="3957"/>
      <c r="C2" s="3958"/>
      <c r="D2" s="3958"/>
      <c r="E2" s="3958"/>
      <c r="F2" s="3958"/>
      <c r="G2" s="3959"/>
    </row>
    <row r="3" spans="2:7" s="390" customFormat="1" ht="15.75" x14ac:dyDescent="0.25">
      <c r="B3" s="3573" t="s">
        <v>2082</v>
      </c>
      <c r="C3" s="3574"/>
      <c r="D3" s="3574"/>
      <c r="E3" s="20" t="s">
        <v>2083</v>
      </c>
      <c r="F3" s="20"/>
      <c r="G3" s="520"/>
    </row>
    <row r="4" spans="2:7" s="390" customFormat="1" ht="15.75" x14ac:dyDescent="0.25">
      <c r="B4" s="3573" t="s">
        <v>2084</v>
      </c>
      <c r="C4" s="3574"/>
      <c r="D4" s="3574"/>
      <c r="E4" s="491" t="s">
        <v>2085</v>
      </c>
      <c r="F4" s="492"/>
      <c r="G4" s="521"/>
    </row>
    <row r="5" spans="2:7" s="390" customFormat="1" ht="15.75" x14ac:dyDescent="0.25">
      <c r="B5" s="3573" t="s">
        <v>2086</v>
      </c>
      <c r="C5" s="3574"/>
      <c r="D5" s="3574"/>
      <c r="E5" s="16" t="s">
        <v>2087</v>
      </c>
      <c r="F5" s="3574" t="s">
        <v>2088</v>
      </c>
      <c r="G5" s="3950"/>
    </row>
    <row r="6" spans="2:7" s="390" customFormat="1" ht="15.75" x14ac:dyDescent="0.25">
      <c r="B6" s="3573" t="s">
        <v>2089</v>
      </c>
      <c r="C6" s="3574"/>
      <c r="D6" s="3574"/>
      <c r="E6" s="16" t="s">
        <v>2090</v>
      </c>
      <c r="F6" s="3574" t="s">
        <v>2091</v>
      </c>
      <c r="G6" s="3950"/>
    </row>
    <row r="7" spans="2:7" s="390" customFormat="1" ht="15.75" x14ac:dyDescent="0.25">
      <c r="B7" s="3573" t="s">
        <v>2092</v>
      </c>
      <c r="C7" s="3574"/>
      <c r="D7" s="3574"/>
      <c r="E7" s="493" t="s">
        <v>2093</v>
      </c>
      <c r="F7" s="3574" t="s">
        <v>2094</v>
      </c>
      <c r="G7" s="3950"/>
    </row>
    <row r="8" spans="2:7" s="390" customFormat="1" ht="15.75" x14ac:dyDescent="0.25">
      <c r="B8" s="3573" t="s">
        <v>2095</v>
      </c>
      <c r="C8" s="3574"/>
      <c r="D8" s="3574"/>
      <c r="E8" s="493" t="s">
        <v>2096</v>
      </c>
      <c r="F8" s="3574" t="s">
        <v>2097</v>
      </c>
      <c r="G8" s="3950"/>
    </row>
    <row r="9" spans="2:7" s="390" customFormat="1" ht="15.75" x14ac:dyDescent="0.25">
      <c r="B9" s="3573" t="s">
        <v>2098</v>
      </c>
      <c r="C9" s="3574"/>
      <c r="D9" s="3574"/>
      <c r="E9" s="493" t="s">
        <v>2099</v>
      </c>
      <c r="F9" s="3574"/>
      <c r="G9" s="3950"/>
    </row>
    <row r="10" spans="2:7" s="390" customFormat="1" ht="15.75" x14ac:dyDescent="0.25">
      <c r="B10" s="3573" t="s">
        <v>2100</v>
      </c>
      <c r="C10" s="3574"/>
      <c r="D10" s="3574"/>
      <c r="E10" s="493" t="s">
        <v>2101</v>
      </c>
      <c r="F10" s="3574"/>
      <c r="G10" s="3950"/>
    </row>
    <row r="11" spans="2:7" s="390" customFormat="1" ht="15.75" x14ac:dyDescent="0.25">
      <c r="B11" s="3573" t="s">
        <v>2102</v>
      </c>
      <c r="C11" s="3574"/>
      <c r="D11" s="3574"/>
      <c r="E11" s="16" t="s">
        <v>2103</v>
      </c>
      <c r="F11" s="3574" t="s">
        <v>2104</v>
      </c>
      <c r="G11" s="3950"/>
    </row>
    <row r="12" spans="2:7" s="390" customFormat="1" ht="15.75" x14ac:dyDescent="0.25">
      <c r="B12" s="3573" t="s">
        <v>2105</v>
      </c>
      <c r="C12" s="3574"/>
      <c r="D12" s="3574"/>
      <c r="E12" s="494" t="s">
        <v>2106</v>
      </c>
      <c r="F12" s="3574" t="s">
        <v>2107</v>
      </c>
      <c r="G12" s="3950"/>
    </row>
    <row r="13" spans="2:7" s="390" customFormat="1" ht="15.75" x14ac:dyDescent="0.25">
      <c r="B13" s="3573" t="s">
        <v>2108</v>
      </c>
      <c r="C13" s="3574"/>
      <c r="D13" s="3574"/>
      <c r="E13" s="493" t="s">
        <v>2109</v>
      </c>
      <c r="F13" s="3574" t="s">
        <v>2110</v>
      </c>
      <c r="G13" s="3950"/>
    </row>
    <row r="14" spans="2:7" s="390" customFormat="1" ht="15.75" x14ac:dyDescent="0.25">
      <c r="B14" s="3573" t="s">
        <v>2111</v>
      </c>
      <c r="C14" s="3574"/>
      <c r="D14" s="3574"/>
      <c r="E14" s="493" t="s">
        <v>2112</v>
      </c>
      <c r="F14" s="3574" t="s">
        <v>2113</v>
      </c>
      <c r="G14" s="3950"/>
    </row>
    <row r="15" spans="2:7" s="390" customFormat="1" ht="15.75" x14ac:dyDescent="0.25">
      <c r="B15" s="3573" t="s">
        <v>2114</v>
      </c>
      <c r="C15" s="3574"/>
      <c r="D15" s="3574"/>
      <c r="E15" s="493" t="s">
        <v>2115</v>
      </c>
      <c r="F15" s="3574" t="s">
        <v>2113</v>
      </c>
      <c r="G15" s="3950"/>
    </row>
    <row r="16" spans="2:7" s="390" customFormat="1" x14ac:dyDescent="0.25">
      <c r="B16" s="522" t="s">
        <v>2116</v>
      </c>
      <c r="C16" s="523"/>
      <c r="D16" s="523"/>
      <c r="E16" s="523"/>
      <c r="F16" s="523"/>
      <c r="G16" s="524"/>
    </row>
    <row r="17" spans="2:7" x14ac:dyDescent="0.3">
      <c r="B17" s="510"/>
      <c r="G17" s="399"/>
    </row>
    <row r="18" spans="2:7" s="390" customFormat="1" ht="20.25" x14ac:dyDescent="0.25">
      <c r="B18" s="3939" t="s">
        <v>2117</v>
      </c>
      <c r="C18" s="3940"/>
      <c r="D18" s="3940"/>
      <c r="E18" s="3940"/>
      <c r="F18" s="3940"/>
      <c r="G18" s="3941"/>
    </row>
    <row r="19" spans="2:7" s="390" customFormat="1" ht="15.75" x14ac:dyDescent="0.25">
      <c r="B19" s="3951"/>
      <c r="C19" s="3952"/>
      <c r="D19" s="302"/>
      <c r="E19" s="302"/>
      <c r="F19" s="302"/>
      <c r="G19" s="525"/>
    </row>
    <row r="20" spans="2:7" s="390" customFormat="1" x14ac:dyDescent="0.25">
      <c r="B20" s="3953" t="s">
        <v>1649</v>
      </c>
      <c r="C20" s="2679"/>
      <c r="D20" s="2679" t="s">
        <v>2118</v>
      </c>
      <c r="E20" s="2679"/>
      <c r="F20" s="2679"/>
      <c r="G20" s="3086"/>
    </row>
    <row r="21" spans="2:7" s="390" customFormat="1" ht="15.75" x14ac:dyDescent="0.25">
      <c r="B21" s="3573" t="s">
        <v>112</v>
      </c>
      <c r="C21" s="3574"/>
      <c r="D21" s="3947" t="s">
        <v>2119</v>
      </c>
      <c r="E21" s="3948"/>
      <c r="F21" s="3948"/>
      <c r="G21" s="3949"/>
    </row>
    <row r="22" spans="2:7" s="390" customFormat="1" ht="15.75" x14ac:dyDescent="0.25">
      <c r="B22" s="3573" t="s">
        <v>1046</v>
      </c>
      <c r="C22" s="3574"/>
      <c r="D22" s="3943" t="s">
        <v>2120</v>
      </c>
      <c r="E22" s="3943"/>
      <c r="F22" s="3943"/>
      <c r="G22" s="3944"/>
    </row>
    <row r="23" spans="2:7" s="390" customFormat="1" ht="15.75" x14ac:dyDescent="0.25">
      <c r="B23" s="3573" t="s">
        <v>1045</v>
      </c>
      <c r="C23" s="3574"/>
      <c r="D23" s="3943" t="s">
        <v>2121</v>
      </c>
      <c r="E23" s="3943"/>
      <c r="F23" s="3943"/>
      <c r="G23" s="3944"/>
    </row>
    <row r="24" spans="2:7" s="390" customFormat="1" ht="15.75" x14ac:dyDescent="0.25">
      <c r="B24" s="3573" t="s">
        <v>1049</v>
      </c>
      <c r="C24" s="3574"/>
      <c r="D24" s="3943" t="s">
        <v>2122</v>
      </c>
      <c r="E24" s="3943"/>
      <c r="F24" s="3943"/>
      <c r="G24" s="3944"/>
    </row>
    <row r="25" spans="2:7" s="390" customFormat="1" ht="15.75" x14ac:dyDescent="0.25">
      <c r="B25" s="3573" t="s">
        <v>1059</v>
      </c>
      <c r="C25" s="3574"/>
      <c r="D25" s="3943" t="s">
        <v>2123</v>
      </c>
      <c r="E25" s="3943"/>
      <c r="F25" s="3943"/>
      <c r="G25" s="3944"/>
    </row>
    <row r="26" spans="2:7" s="390" customFormat="1" ht="15.75" x14ac:dyDescent="0.25">
      <c r="B26" s="3573" t="s">
        <v>1050</v>
      </c>
      <c r="C26" s="3574"/>
      <c r="D26" s="3943" t="s">
        <v>2124</v>
      </c>
      <c r="E26" s="3943"/>
      <c r="F26" s="3943"/>
      <c r="G26" s="3944"/>
    </row>
    <row r="27" spans="2:7" s="390" customFormat="1" ht="15.75" x14ac:dyDescent="0.25">
      <c r="B27" s="3573" t="s">
        <v>1051</v>
      </c>
      <c r="C27" s="3574"/>
      <c r="D27" s="3943" t="s">
        <v>2125</v>
      </c>
      <c r="E27" s="3943"/>
      <c r="F27" s="3943"/>
      <c r="G27" s="3944"/>
    </row>
    <row r="28" spans="2:7" s="390" customFormat="1" ht="15.75" x14ac:dyDescent="0.25">
      <c r="B28" s="3573" t="s">
        <v>1414</v>
      </c>
      <c r="C28" s="3574"/>
      <c r="D28" s="3943" t="s">
        <v>2126</v>
      </c>
      <c r="E28" s="3943"/>
      <c r="F28" s="3943"/>
      <c r="G28" s="3944"/>
    </row>
    <row r="29" spans="2:7" s="390" customFormat="1" ht="15.75" x14ac:dyDescent="0.25">
      <c r="B29" s="3573" t="s">
        <v>1054</v>
      </c>
      <c r="C29" s="3574"/>
      <c r="D29" s="3943" t="s">
        <v>2127</v>
      </c>
      <c r="E29" s="3943"/>
      <c r="F29" s="3943"/>
      <c r="G29" s="3944"/>
    </row>
    <row r="30" spans="2:7" s="390" customFormat="1" ht="15.75" x14ac:dyDescent="0.25">
      <c r="B30" s="3573" t="s">
        <v>1066</v>
      </c>
      <c r="C30" s="3574"/>
      <c r="D30" s="3943" t="s">
        <v>2128</v>
      </c>
      <c r="E30" s="3943"/>
      <c r="F30" s="3943"/>
      <c r="G30" s="3944"/>
    </row>
    <row r="31" spans="2:7" s="390" customFormat="1" ht="15.75" x14ac:dyDescent="0.25">
      <c r="B31" s="3945" t="s">
        <v>2129</v>
      </c>
      <c r="C31" s="3946"/>
      <c r="D31" s="3943" t="s">
        <v>2130</v>
      </c>
      <c r="E31" s="3943"/>
      <c r="F31" s="3943"/>
      <c r="G31" s="3944"/>
    </row>
    <row r="32" spans="2:7" s="390" customFormat="1" ht="15.75" x14ac:dyDescent="0.25">
      <c r="B32" s="3573" t="s">
        <v>2131</v>
      </c>
      <c r="C32" s="3574"/>
      <c r="D32" s="3943" t="s">
        <v>2132</v>
      </c>
      <c r="E32" s="3943"/>
      <c r="F32" s="3943"/>
      <c r="G32" s="3944"/>
    </row>
    <row r="33" spans="2:7" ht="17.25" thickBot="1" x14ac:dyDescent="0.35">
      <c r="B33" s="400"/>
      <c r="C33" s="403"/>
      <c r="D33" s="403"/>
      <c r="E33" s="403"/>
      <c r="F33" s="403"/>
      <c r="G33" s="404"/>
    </row>
  </sheetData>
  <mergeCells count="54">
    <mergeCell ref="B1:G1"/>
    <mergeCell ref="B2:G2"/>
    <mergeCell ref="B3:D3"/>
    <mergeCell ref="B4:D4"/>
    <mergeCell ref="B5:D5"/>
    <mergeCell ref="F5:G5"/>
    <mergeCell ref="B6:D6"/>
    <mergeCell ref="F6:G6"/>
    <mergeCell ref="B7:D7"/>
    <mergeCell ref="F7:G7"/>
    <mergeCell ref="B8:D8"/>
    <mergeCell ref="F8:G8"/>
    <mergeCell ref="B9:D9"/>
    <mergeCell ref="F9:G9"/>
    <mergeCell ref="B10:D10"/>
    <mergeCell ref="F10:G10"/>
    <mergeCell ref="B11:D11"/>
    <mergeCell ref="F11:G11"/>
    <mergeCell ref="B12:D12"/>
    <mergeCell ref="F12:G12"/>
    <mergeCell ref="B13:D13"/>
    <mergeCell ref="F13:G13"/>
    <mergeCell ref="B14:D14"/>
    <mergeCell ref="F14:G14"/>
    <mergeCell ref="B15:D15"/>
    <mergeCell ref="F15:G15"/>
    <mergeCell ref="B18:G18"/>
    <mergeCell ref="B19:C19"/>
    <mergeCell ref="B20:C20"/>
    <mergeCell ref="D20:G20"/>
    <mergeCell ref="B21:C21"/>
    <mergeCell ref="D21:G21"/>
    <mergeCell ref="B22:C22"/>
    <mergeCell ref="D22:G22"/>
    <mergeCell ref="B23:C23"/>
    <mergeCell ref="D23:G23"/>
    <mergeCell ref="B24:C24"/>
    <mergeCell ref="D24:G24"/>
    <mergeCell ref="B25:C25"/>
    <mergeCell ref="D25:G25"/>
    <mergeCell ref="B26:C26"/>
    <mergeCell ref="D26:G26"/>
    <mergeCell ref="B27:C27"/>
    <mergeCell ref="D27:G27"/>
    <mergeCell ref="B28:C28"/>
    <mergeCell ref="D28:G28"/>
    <mergeCell ref="B29:C29"/>
    <mergeCell ref="D29:G29"/>
    <mergeCell ref="B30:C30"/>
    <mergeCell ref="D30:G30"/>
    <mergeCell ref="B31:C31"/>
    <mergeCell ref="D31:G31"/>
    <mergeCell ref="B32:C32"/>
    <mergeCell ref="D32:G32"/>
  </mergeCells>
  <pageMargins left="0.70866141732283472" right="0.70866141732283472" top="0.74803149606299213" bottom="0.74803149606299213" header="0.31496062992125984" footer="0.31496062992125984"/>
  <pageSetup paperSize="9" scale="71" orientation="portrait" verticalDpi="300" r:id="rId1"/>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7087C5-36BC-45B6-BB81-838D0E37BA9A}">
  <sheetPr codeName="Sheet105">
    <tabColor theme="0"/>
    <pageSetUpPr fitToPage="1"/>
  </sheetPr>
  <dimension ref="B1:F34"/>
  <sheetViews>
    <sheetView view="pageLayout" topLeftCell="B30" zoomScale="70" zoomScaleNormal="100" zoomScalePageLayoutView="70" workbookViewId="0">
      <selection activeCell="D22" sqref="D22"/>
    </sheetView>
  </sheetViews>
  <sheetFormatPr defaultColWidth="9.140625" defaultRowHeight="15.75" x14ac:dyDescent="0.25"/>
  <cols>
    <col min="1" max="1" width="0" style="112" hidden="1" customWidth="1"/>
    <col min="2" max="2" width="12" style="112" bestFit="1" customWidth="1"/>
    <col min="3" max="3" width="70.140625" style="112" customWidth="1"/>
    <col min="4" max="4" width="4.5703125" style="112" customWidth="1"/>
    <col min="5" max="5" width="11.28515625" style="112" bestFit="1" customWidth="1"/>
    <col min="6" max="6" width="68.42578125" style="112" customWidth="1"/>
    <col min="7" max="16384" width="9.140625" style="112"/>
  </cols>
  <sheetData>
    <row r="1" spans="2:6" ht="39.75" customHeight="1" x14ac:dyDescent="0.25">
      <c r="B1" s="3964" t="s">
        <v>114</v>
      </c>
      <c r="C1" s="3965"/>
      <c r="D1" s="3965"/>
      <c r="E1" s="3965"/>
      <c r="F1" s="3966"/>
    </row>
    <row r="2" spans="2:6" ht="20.25" customHeight="1" x14ac:dyDescent="0.3">
      <c r="B2" s="533"/>
      <c r="C2" s="679"/>
      <c r="D2" s="679"/>
      <c r="E2" s="679"/>
      <c r="F2" s="534"/>
    </row>
    <row r="3" spans="2:6" ht="39.75" customHeight="1" x14ac:dyDescent="0.25">
      <c r="B3" s="535" t="s">
        <v>2064</v>
      </c>
      <c r="C3" s="517" t="s">
        <v>2133</v>
      </c>
      <c r="D3" s="247"/>
      <c r="E3" s="517" t="s">
        <v>2183</v>
      </c>
      <c r="F3" s="536" t="s">
        <v>2184</v>
      </c>
    </row>
    <row r="4" spans="2:6" ht="39.75" customHeight="1" x14ac:dyDescent="0.25">
      <c r="B4" s="535" t="s">
        <v>2134</v>
      </c>
      <c r="C4" s="517" t="s">
        <v>2135</v>
      </c>
      <c r="D4" s="247"/>
      <c r="E4" s="517" t="s">
        <v>30</v>
      </c>
      <c r="F4" s="536" t="s">
        <v>2185</v>
      </c>
    </row>
    <row r="5" spans="2:6" ht="39.75" customHeight="1" x14ac:dyDescent="0.25">
      <c r="B5" s="535" t="s">
        <v>1098</v>
      </c>
      <c r="C5" s="517" t="s">
        <v>433</v>
      </c>
      <c r="D5" s="247"/>
      <c r="E5" s="517" t="s">
        <v>19</v>
      </c>
      <c r="F5" s="536" t="s">
        <v>2186</v>
      </c>
    </row>
    <row r="6" spans="2:6" ht="39.75" customHeight="1" x14ac:dyDescent="0.25">
      <c r="B6" s="535" t="s">
        <v>2136</v>
      </c>
      <c r="C6" s="517" t="s">
        <v>2137</v>
      </c>
      <c r="D6" s="247"/>
      <c r="E6" s="517" t="s">
        <v>57</v>
      </c>
      <c r="F6" s="536" t="s">
        <v>2187</v>
      </c>
    </row>
    <row r="7" spans="2:6" ht="39.75" customHeight="1" x14ac:dyDescent="0.25">
      <c r="B7" s="535" t="s">
        <v>2138</v>
      </c>
      <c r="C7" s="517" t="s">
        <v>2139</v>
      </c>
      <c r="D7" s="247"/>
      <c r="E7" s="517" t="s">
        <v>2188</v>
      </c>
      <c r="F7" s="536" t="s">
        <v>2189</v>
      </c>
    </row>
    <row r="8" spans="2:6" ht="39.75" customHeight="1" x14ac:dyDescent="0.25">
      <c r="B8" s="535" t="s">
        <v>1020</v>
      </c>
      <c r="C8" s="517" t="s">
        <v>2140</v>
      </c>
      <c r="D8" s="247"/>
      <c r="E8" s="3967" t="s">
        <v>36</v>
      </c>
      <c r="F8" s="3960" t="s">
        <v>2190</v>
      </c>
    </row>
    <row r="9" spans="2:6" ht="39.75" customHeight="1" x14ac:dyDescent="0.25">
      <c r="B9" s="535" t="s">
        <v>2141</v>
      </c>
      <c r="C9" s="517" t="s">
        <v>2142</v>
      </c>
      <c r="D9" s="247"/>
      <c r="E9" s="3968"/>
      <c r="F9" s="3961"/>
    </row>
    <row r="10" spans="2:6" ht="39.75" customHeight="1" x14ac:dyDescent="0.25">
      <c r="B10" s="535" t="s">
        <v>2143</v>
      </c>
      <c r="C10" s="517" t="s">
        <v>2144</v>
      </c>
      <c r="D10" s="247"/>
      <c r="E10" s="517" t="s">
        <v>1101</v>
      </c>
      <c r="F10" s="536" t="s">
        <v>2191</v>
      </c>
    </row>
    <row r="11" spans="2:6" ht="39.75" customHeight="1" x14ac:dyDescent="0.25">
      <c r="B11" s="535" t="s">
        <v>2145</v>
      </c>
      <c r="C11" s="517" t="s">
        <v>2146</v>
      </c>
      <c r="D11" s="247"/>
      <c r="E11" s="518" t="s">
        <v>126</v>
      </c>
      <c r="F11" s="536" t="s">
        <v>2192</v>
      </c>
    </row>
    <row r="12" spans="2:6" ht="39.75" customHeight="1" x14ac:dyDescent="0.25">
      <c r="B12" s="537" t="s">
        <v>2147</v>
      </c>
      <c r="C12" s="519" t="s">
        <v>2148</v>
      </c>
      <c r="D12" s="247"/>
      <c r="E12" s="517" t="s">
        <v>2193</v>
      </c>
      <c r="F12" s="536" t="s">
        <v>2194</v>
      </c>
    </row>
    <row r="13" spans="2:6" ht="39.75" customHeight="1" x14ac:dyDescent="0.25">
      <c r="B13" s="537" t="s">
        <v>2149</v>
      </c>
      <c r="C13" s="517" t="s">
        <v>2150</v>
      </c>
      <c r="D13" s="247"/>
      <c r="E13" s="517" t="s">
        <v>2195</v>
      </c>
      <c r="F13" s="536" t="s">
        <v>2196</v>
      </c>
    </row>
    <row r="14" spans="2:6" ht="39.75" customHeight="1" x14ac:dyDescent="0.25">
      <c r="B14" s="535" t="s">
        <v>287</v>
      </c>
      <c r="C14" s="517" t="s">
        <v>2151</v>
      </c>
      <c r="D14" s="247"/>
      <c r="E14" s="517" t="s">
        <v>1115</v>
      </c>
      <c r="F14" s="536" t="s">
        <v>2197</v>
      </c>
    </row>
    <row r="15" spans="2:6" ht="39.75" customHeight="1" x14ac:dyDescent="0.25">
      <c r="B15" s="535" t="s">
        <v>2152</v>
      </c>
      <c r="C15" s="517" t="s">
        <v>2153</v>
      </c>
      <c r="D15" s="247"/>
      <c r="E15" s="517" t="s">
        <v>281</v>
      </c>
      <c r="F15" s="536" t="s">
        <v>2198</v>
      </c>
    </row>
    <row r="16" spans="2:6" ht="39.75" customHeight="1" x14ac:dyDescent="0.25">
      <c r="B16" s="535" t="s">
        <v>2154</v>
      </c>
      <c r="C16" s="517" t="s">
        <v>2155</v>
      </c>
      <c r="D16" s="247"/>
      <c r="E16" s="3962" t="s">
        <v>2199</v>
      </c>
      <c r="F16" s="3960" t="s">
        <v>2200</v>
      </c>
    </row>
    <row r="17" spans="2:6" ht="39.75" customHeight="1" x14ac:dyDescent="0.25">
      <c r="B17" s="535" t="s">
        <v>2156</v>
      </c>
      <c r="C17" s="517" t="s">
        <v>2157</v>
      </c>
      <c r="D17" s="247"/>
      <c r="E17" s="3963"/>
      <c r="F17" s="3961"/>
    </row>
    <row r="18" spans="2:6" ht="39.75" customHeight="1" x14ac:dyDescent="0.25">
      <c r="B18" s="535" t="s">
        <v>1197</v>
      </c>
      <c r="C18" s="517" t="s">
        <v>2158</v>
      </c>
      <c r="D18" s="247"/>
      <c r="E18" s="517" t="s">
        <v>244</v>
      </c>
      <c r="F18" s="536" t="s">
        <v>372</v>
      </c>
    </row>
    <row r="19" spans="2:6" ht="39.75" customHeight="1" x14ac:dyDescent="0.25">
      <c r="B19" s="535" t="s">
        <v>2159</v>
      </c>
      <c r="C19" s="517" t="s">
        <v>2160</v>
      </c>
      <c r="D19" s="247"/>
      <c r="E19" s="518" t="s">
        <v>2201</v>
      </c>
      <c r="F19" s="536" t="s">
        <v>2202</v>
      </c>
    </row>
    <row r="20" spans="2:6" ht="39.75" customHeight="1" x14ac:dyDescent="0.25">
      <c r="B20" s="535" t="s">
        <v>2161</v>
      </c>
      <c r="C20" s="517" t="s">
        <v>2162</v>
      </c>
      <c r="D20" s="247"/>
      <c r="E20" s="517" t="s">
        <v>243</v>
      </c>
      <c r="F20" s="536" t="s">
        <v>2203</v>
      </c>
    </row>
    <row r="21" spans="2:6" ht="39.75" customHeight="1" x14ac:dyDescent="0.25">
      <c r="B21" s="535" t="s">
        <v>1230</v>
      </c>
      <c r="C21" s="517" t="s">
        <v>2163</v>
      </c>
      <c r="D21" s="247"/>
      <c r="E21" s="517" t="s">
        <v>2204</v>
      </c>
      <c r="F21" s="536" t="s">
        <v>2205</v>
      </c>
    </row>
    <row r="22" spans="2:6" ht="39.75" customHeight="1" x14ac:dyDescent="0.25">
      <c r="B22" s="535" t="s">
        <v>1880</v>
      </c>
      <c r="C22" s="517" t="s">
        <v>2164</v>
      </c>
      <c r="D22" s="247"/>
      <c r="E22" s="517" t="s">
        <v>1885</v>
      </c>
      <c r="F22" s="536" t="s">
        <v>2206</v>
      </c>
    </row>
    <row r="23" spans="2:6" ht="39.75" customHeight="1" x14ac:dyDescent="0.25">
      <c r="B23" s="535" t="s">
        <v>2165</v>
      </c>
      <c r="C23" s="517" t="s">
        <v>2166</v>
      </c>
      <c r="D23" s="247"/>
      <c r="E23" s="517" t="s">
        <v>2207</v>
      </c>
      <c r="F23" s="536" t="s">
        <v>2208</v>
      </c>
    </row>
    <row r="24" spans="2:6" ht="39.75" customHeight="1" x14ac:dyDescent="0.25">
      <c r="B24" s="535" t="s">
        <v>1099</v>
      </c>
      <c r="C24" s="517" t="s">
        <v>529</v>
      </c>
      <c r="D24" s="247"/>
      <c r="E24" s="517" t="s">
        <v>2209</v>
      </c>
      <c r="F24" s="536" t="s">
        <v>2210</v>
      </c>
    </row>
    <row r="25" spans="2:6" ht="39.75" customHeight="1" x14ac:dyDescent="0.25">
      <c r="B25" s="535" t="s">
        <v>2167</v>
      </c>
      <c r="C25" s="517" t="s">
        <v>2168</v>
      </c>
      <c r="D25" s="247"/>
      <c r="E25" s="517" t="s">
        <v>2211</v>
      </c>
      <c r="F25" s="536" t="s">
        <v>2212</v>
      </c>
    </row>
    <row r="26" spans="2:6" ht="39.75" customHeight="1" x14ac:dyDescent="0.25">
      <c r="B26" s="535" t="s">
        <v>1112</v>
      </c>
      <c r="C26" s="517" t="s">
        <v>414</v>
      </c>
      <c r="D26" s="247"/>
      <c r="E26" s="518" t="s">
        <v>96</v>
      </c>
      <c r="F26" s="536" t="s">
        <v>1518</v>
      </c>
    </row>
    <row r="27" spans="2:6" ht="39.75" customHeight="1" x14ac:dyDescent="0.25">
      <c r="B27" s="535" t="s">
        <v>2169</v>
      </c>
      <c r="C27" s="517" t="s">
        <v>2170</v>
      </c>
      <c r="D27" s="247"/>
      <c r="E27" s="517" t="s">
        <v>2213</v>
      </c>
      <c r="F27" s="536" t="s">
        <v>2214</v>
      </c>
    </row>
    <row r="28" spans="2:6" ht="39.75" customHeight="1" x14ac:dyDescent="0.25">
      <c r="B28" s="535" t="s">
        <v>2171</v>
      </c>
      <c r="C28" s="517" t="s">
        <v>2172</v>
      </c>
      <c r="D28" s="247"/>
      <c r="E28" s="517" t="s">
        <v>1650</v>
      </c>
      <c r="F28" s="536" t="s">
        <v>2215</v>
      </c>
    </row>
    <row r="29" spans="2:6" ht="39.75" customHeight="1" x14ac:dyDescent="0.25">
      <c r="B29" s="535" t="s">
        <v>112</v>
      </c>
      <c r="C29" s="517" t="s">
        <v>2173</v>
      </c>
      <c r="D29" s="247"/>
      <c r="E29" s="517" t="s">
        <v>2216</v>
      </c>
      <c r="F29" s="536" t="s">
        <v>2217</v>
      </c>
    </row>
    <row r="30" spans="2:6" ht="39.75" customHeight="1" x14ac:dyDescent="0.25">
      <c r="B30" s="535" t="s">
        <v>2174</v>
      </c>
      <c r="C30" s="517" t="s">
        <v>2175</v>
      </c>
      <c r="D30" s="247"/>
      <c r="E30" s="518" t="s">
        <v>54</v>
      </c>
      <c r="F30" s="536" t="s">
        <v>2218</v>
      </c>
    </row>
    <row r="31" spans="2:6" ht="39.75" customHeight="1" x14ac:dyDescent="0.25">
      <c r="B31" s="535" t="s">
        <v>2176</v>
      </c>
      <c r="C31" s="517" t="s">
        <v>2177</v>
      </c>
      <c r="D31" s="247"/>
      <c r="E31" s="517" t="s">
        <v>2219</v>
      </c>
      <c r="F31" s="536" t="s">
        <v>2220</v>
      </c>
    </row>
    <row r="32" spans="2:6" ht="39.75" customHeight="1" x14ac:dyDescent="0.25">
      <c r="B32" s="535" t="s">
        <v>2178</v>
      </c>
      <c r="C32" s="517" t="s">
        <v>2179</v>
      </c>
      <c r="D32" s="247"/>
      <c r="E32" s="517" t="s">
        <v>305</v>
      </c>
      <c r="F32" s="536" t="s">
        <v>2221</v>
      </c>
    </row>
    <row r="33" spans="2:6" ht="39.75" customHeight="1" x14ac:dyDescent="0.25">
      <c r="B33" s="537" t="s">
        <v>2180</v>
      </c>
      <c r="C33" s="517" t="s">
        <v>2181</v>
      </c>
      <c r="D33" s="247"/>
      <c r="E33" s="517" t="s">
        <v>131</v>
      </c>
      <c r="F33" s="536" t="s">
        <v>2222</v>
      </c>
    </row>
    <row r="34" spans="2:6" ht="39.75" customHeight="1" x14ac:dyDescent="0.25">
      <c r="B34" s="535" t="s">
        <v>81</v>
      </c>
      <c r="C34" s="517" t="s">
        <v>2182</v>
      </c>
      <c r="D34" s="1483"/>
      <c r="E34" s="517" t="s">
        <v>2223</v>
      </c>
      <c r="F34" s="536" t="s">
        <v>2224</v>
      </c>
    </row>
  </sheetData>
  <mergeCells count="5">
    <mergeCell ref="F16:F17"/>
    <mergeCell ref="E16:E17"/>
    <mergeCell ref="B1:F1"/>
    <mergeCell ref="F8:F9"/>
    <mergeCell ref="E8:E9"/>
  </mergeCells>
  <pageMargins left="0.70866141732283472" right="0.70866141732283472" top="0.74803149606299213" bottom="0.74803149606299213" header="0.31496062992125984" footer="0.31496062992125984"/>
  <pageSetup paperSize="9" scale="52"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107</vt:i4>
      </vt:variant>
      <vt:variant>
        <vt:lpstr>Named Ranges</vt:lpstr>
      </vt:variant>
      <vt:variant>
        <vt:i4>49</vt:i4>
      </vt:variant>
    </vt:vector>
  </HeadingPairs>
  <TitlesOfParts>
    <vt:vector size="156" baseType="lpstr">
      <vt:lpstr>Preface</vt:lpstr>
      <vt:lpstr>Vision &amp; Mission</vt:lpstr>
      <vt:lpstr>Cover</vt:lpstr>
      <vt:lpstr>CONTENTS</vt:lpstr>
      <vt:lpstr>1.1</vt:lpstr>
      <vt:lpstr>1.12</vt:lpstr>
      <vt:lpstr>1.2</vt:lpstr>
      <vt:lpstr>1.2 (a)</vt:lpstr>
      <vt:lpstr>2.0 CH E&amp;P</vt:lpstr>
      <vt:lpstr>Table 2.1 </vt:lpstr>
      <vt:lpstr>Table 2.2 </vt:lpstr>
      <vt:lpstr>Table 2.3</vt:lpstr>
      <vt:lpstr>Table 2.4</vt:lpstr>
      <vt:lpstr>2.5A+2.5B+2.6</vt:lpstr>
      <vt:lpstr>2.7 (A&amp;B)</vt:lpstr>
      <vt:lpstr> 2.8, 2.9, 2.10 &amp; 2.11</vt:lpstr>
      <vt:lpstr>2.10</vt:lpstr>
      <vt:lpstr>CH 3 Natural Gas</vt:lpstr>
      <vt:lpstr>3.1</vt:lpstr>
      <vt:lpstr>3.2</vt:lpstr>
      <vt:lpstr>3.2 a</vt:lpstr>
      <vt:lpstr>3.3</vt:lpstr>
      <vt:lpstr>3.3 (a)</vt:lpstr>
      <vt:lpstr>3.4+3.5 </vt:lpstr>
      <vt:lpstr>3.4+3.5 Graph</vt:lpstr>
      <vt:lpstr>3.5A</vt:lpstr>
      <vt:lpstr>3.6</vt:lpstr>
      <vt:lpstr>3.7</vt:lpstr>
      <vt:lpstr>3.7a.</vt:lpstr>
      <vt:lpstr>3.7a</vt:lpstr>
      <vt:lpstr>3.7b</vt:lpstr>
      <vt:lpstr>3.8</vt:lpstr>
      <vt:lpstr>3.9+3.10 &amp; 3.10A</vt:lpstr>
      <vt:lpstr>3.11</vt:lpstr>
      <vt:lpstr>3.12</vt:lpstr>
      <vt:lpstr>3.12A</vt:lpstr>
      <vt:lpstr>3.12BC</vt:lpstr>
      <vt:lpstr>NG Sectoral</vt:lpstr>
      <vt:lpstr>3.12DState NG Sectoral </vt:lpstr>
      <vt:lpstr>3.12DState NG Sectoral</vt:lpstr>
      <vt:lpstr>4.0 CH R&amp;P</vt:lpstr>
      <vt:lpstr>4.1, 4.2 &amp; 4.3</vt:lpstr>
      <vt:lpstr>4.4&amp;4.5</vt:lpstr>
      <vt:lpstr>4.6</vt:lpstr>
      <vt:lpstr>4.7 &amp; 4.8</vt:lpstr>
      <vt:lpstr>4.9</vt:lpstr>
      <vt:lpstr>4.10</vt:lpstr>
      <vt:lpstr>4.11</vt:lpstr>
      <vt:lpstr>4.12</vt:lpstr>
      <vt:lpstr>5.0 CH Pipelines</vt:lpstr>
      <vt:lpstr>5.1</vt:lpstr>
      <vt:lpstr>5.1 CHART_NEW</vt:lpstr>
      <vt:lpstr>5.2</vt:lpstr>
      <vt:lpstr>5.3</vt:lpstr>
      <vt:lpstr>6.0 CH Consumption</vt:lpstr>
      <vt:lpstr>6.1 chart</vt:lpstr>
      <vt:lpstr>6.1</vt:lpstr>
      <vt:lpstr>6.2</vt:lpstr>
      <vt:lpstr>POL Market Share (2)</vt:lpstr>
      <vt:lpstr>Survey_HSD sectoral</vt:lpstr>
      <vt:lpstr>POL_sectoral</vt:lpstr>
      <vt:lpstr>6.3A</vt:lpstr>
      <vt:lpstr>6.3B</vt:lpstr>
      <vt:lpstr>6.4A</vt:lpstr>
      <vt:lpstr>6.4B </vt:lpstr>
      <vt:lpstr>6.4C</vt:lpstr>
      <vt:lpstr>6.4D</vt:lpstr>
      <vt:lpstr>6.5</vt:lpstr>
      <vt:lpstr>6.6</vt:lpstr>
      <vt:lpstr>6.6 A</vt:lpstr>
      <vt:lpstr>6.6 PSU RO</vt:lpstr>
      <vt:lpstr>6.7 </vt:lpstr>
      <vt:lpstr>6.8</vt:lpstr>
      <vt:lpstr>6.81_Charts</vt:lpstr>
      <vt:lpstr>Charts </vt:lpstr>
      <vt:lpstr>6.9</vt:lpstr>
      <vt:lpstr>6.10</vt:lpstr>
      <vt:lpstr>POL Market Share</vt:lpstr>
      <vt:lpstr>7.0 CH LPG</vt:lpstr>
      <vt:lpstr>7.1</vt:lpstr>
      <vt:lpstr>7.2</vt:lpstr>
      <vt:lpstr>7.3</vt:lpstr>
      <vt:lpstr>7.4</vt:lpstr>
      <vt:lpstr>7.5</vt:lpstr>
      <vt:lpstr>7.6</vt:lpstr>
      <vt:lpstr>Chapter 8.0</vt:lpstr>
      <vt:lpstr>8.1</vt:lpstr>
      <vt:lpstr>8.1 graph</vt:lpstr>
      <vt:lpstr>8.2 8.3 8.4 8.5</vt:lpstr>
      <vt:lpstr>8.6 8.7 8.8</vt:lpstr>
      <vt:lpstr>8.9</vt:lpstr>
      <vt:lpstr>8.10 8.11</vt:lpstr>
      <vt:lpstr>8.12</vt:lpstr>
      <vt:lpstr>8.13</vt:lpstr>
      <vt:lpstr>8.14 &amp; 8.15</vt:lpstr>
      <vt:lpstr>8.16</vt:lpstr>
      <vt:lpstr>8.17</vt:lpstr>
      <vt:lpstr>8.18 </vt:lpstr>
      <vt:lpstr>8.19</vt:lpstr>
      <vt:lpstr>8.20</vt:lpstr>
      <vt:lpstr>8.21</vt:lpstr>
      <vt:lpstr>8.22</vt:lpstr>
      <vt:lpstr>8.23-8.24</vt:lpstr>
      <vt:lpstr>8.23-8.24 (3)</vt:lpstr>
      <vt:lpstr>9.1, 9.2,9.3 &amp; 9.4 </vt:lpstr>
      <vt:lpstr>9.5 &amp; 9.6</vt:lpstr>
      <vt:lpstr>Abreviations</vt:lpstr>
      <vt:lpstr>'CH 3 Natural Gas'!_Hlk140134926</vt:lpstr>
      <vt:lpstr>'7.0 CH LPG'!_Hlk145522451</vt:lpstr>
      <vt:lpstr>'1.1'!Print_Area</vt:lpstr>
      <vt:lpstr>'1.12'!Print_Area</vt:lpstr>
      <vt:lpstr>'1.2 (a)'!Print_Area</vt:lpstr>
      <vt:lpstr>'2.0 CH E&amp;P'!Print_Area</vt:lpstr>
      <vt:lpstr>'3.1'!Print_Area</vt:lpstr>
      <vt:lpstr>'3.11'!Print_Area</vt:lpstr>
      <vt:lpstr>'3.12BC'!Print_Area</vt:lpstr>
      <vt:lpstr>'3.2 a'!Print_Area</vt:lpstr>
      <vt:lpstr>'3.3 (a)'!Print_Area</vt:lpstr>
      <vt:lpstr>'3.4+3.5 '!Print_Area</vt:lpstr>
      <vt:lpstr>'3.4+3.5 Graph'!Print_Area</vt:lpstr>
      <vt:lpstr>'3.7'!Print_Area</vt:lpstr>
      <vt:lpstr>'3.7a'!Print_Area</vt:lpstr>
      <vt:lpstr>'3.7b'!Print_Area</vt:lpstr>
      <vt:lpstr>'3.8'!Print_Area</vt:lpstr>
      <vt:lpstr>'4.11'!Print_Area</vt:lpstr>
      <vt:lpstr>'4.9'!Print_Area</vt:lpstr>
      <vt:lpstr>'5.1'!Print_Area</vt:lpstr>
      <vt:lpstr>'5.3'!Print_Area</vt:lpstr>
      <vt:lpstr>'6.1'!Print_Area</vt:lpstr>
      <vt:lpstr>'6.3A'!Print_Area</vt:lpstr>
      <vt:lpstr>'6.3B'!Print_Area</vt:lpstr>
      <vt:lpstr>'6.4A'!Print_Area</vt:lpstr>
      <vt:lpstr>'6.4B '!Print_Area</vt:lpstr>
      <vt:lpstr>'6.4C'!Print_Area</vt:lpstr>
      <vt:lpstr>'6.5'!Print_Area</vt:lpstr>
      <vt:lpstr>'6.6'!Print_Area</vt:lpstr>
      <vt:lpstr>'6.6 PSU RO'!Print_Area</vt:lpstr>
      <vt:lpstr>'6.8'!Print_Area</vt:lpstr>
      <vt:lpstr>'6.81_Charts'!Print_Area</vt:lpstr>
      <vt:lpstr>'6.9'!Print_Area</vt:lpstr>
      <vt:lpstr>'7.2'!Print_Area</vt:lpstr>
      <vt:lpstr>'7.3'!Print_Area</vt:lpstr>
      <vt:lpstr>'8.1'!Print_Area</vt:lpstr>
      <vt:lpstr>'8.1 graph'!Print_Area</vt:lpstr>
      <vt:lpstr>'8.13'!Print_Area</vt:lpstr>
      <vt:lpstr>'8.14 &amp; 8.15'!Print_Area</vt:lpstr>
      <vt:lpstr>'8.17'!Print_Area</vt:lpstr>
      <vt:lpstr>'8.22'!Print_Area</vt:lpstr>
      <vt:lpstr>Abreviations!Print_Area</vt:lpstr>
      <vt:lpstr>'NG Sectoral'!Print_Area</vt:lpstr>
      <vt:lpstr>'POL Market Share'!Print_Area</vt:lpstr>
      <vt:lpstr>'POL Market Share (2)'!Print_Area</vt:lpstr>
      <vt:lpstr>POL_sectoral!Print_Area</vt:lpstr>
      <vt:lpstr>Preface!Print_Area</vt:lpstr>
      <vt:lpstr>'5.1'!Print_Titles</vt:lpstr>
      <vt:lpstr>'5.3'!Print_Titles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Ravindra (रविंद्र कुमार)</dc:creator>
  <cp:lastModifiedBy>RAVINDRA  KUMAR</cp:lastModifiedBy>
  <cp:lastPrinted>2026-04-23T11:55:59Z</cp:lastPrinted>
  <dcterms:created xsi:type="dcterms:W3CDTF">2024-11-19T06:01:33Z</dcterms:created>
  <dcterms:modified xsi:type="dcterms:W3CDTF">2026-08-07T12:53:29Z</dcterms:modified>
</cp:coreProperties>
</file>